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0"/>
  </bookViews>
  <sheets>
    <sheet name="Склад Челябинск" sheetId="1" r:id="rId1"/>
    <sheet name="На заказ" sheetId="2" r:id="rId2"/>
  </sheets>
  <definedNames>
    <definedName name="_xlnm.Print_Area" localSheetId="0">'Склад Челябинск'!$A$1:$I$335</definedName>
  </definedNames>
  <calcPr fullCalcOnLoad="1"/>
</workbook>
</file>

<file path=xl/comments1.xml><?xml version="1.0" encoding="utf-8"?>
<comments xmlns="http://schemas.openxmlformats.org/spreadsheetml/2006/main">
  <authors>
    <author>Dmitrii</author>
    <author>User</author>
    <author>Liza</author>
    <author>ludmila</author>
  </authors>
  <commentList>
    <comment ref="H28" authorId="0">
      <text>
        <r>
          <rPr>
            <b/>
            <sz val="9"/>
            <rFont val="Tahoma"/>
            <family val="2"/>
          </rPr>
          <t>Длины:
475, 475, 520, 520, 535, 575, 620, 750</t>
        </r>
      </text>
    </comment>
    <comment ref="C222" authorId="0">
      <text>
        <r>
          <rPr>
            <b/>
            <sz val="9"/>
            <rFont val="Tahoma"/>
            <family val="2"/>
          </rPr>
          <t xml:space="preserve">У 1490 запилы. Уточнить!
</t>
        </r>
      </text>
    </comment>
    <comment ref="C185" authorId="0">
      <text>
        <r>
          <rPr>
            <b/>
            <sz val="9"/>
            <rFont val="Tahoma"/>
            <family val="2"/>
          </rPr>
          <t xml:space="preserve">2650, 3700, 3745, 3960, 4370, 4445, 5165
</t>
        </r>
      </text>
    </comment>
    <comment ref="C121" authorId="0">
      <text>
        <r>
          <rPr>
            <b/>
            <sz val="9"/>
            <rFont val="Tahoma"/>
            <family val="2"/>
          </rPr>
          <t>1140, 3135, 3140, 3125, 3375, 3400</t>
        </r>
      </text>
    </comment>
    <comment ref="I36" authorId="0">
      <text>
        <r>
          <rPr>
            <b/>
            <sz val="9"/>
            <rFont val="Tahoma"/>
            <family val="2"/>
          </rPr>
          <t>Вес теоретич.</t>
        </r>
      </text>
    </comment>
    <comment ref="C1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L=1290,2750,3030,3230,3290</t>
        </r>
      </text>
    </comment>
    <comment ref="H182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2140, 2140, 2355 (кривой), 2355, 2890</t>
        </r>
      </text>
    </comment>
    <comment ref="B329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толщина от 15 до 20мм</t>
        </r>
      </text>
    </comment>
    <comment ref="C252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405мм (длиной 425-405мм, т.к. один угол спилен)</t>
        </r>
      </text>
    </comment>
    <comment ref="G213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запилы, не режется</t>
        </r>
      </text>
    </comment>
    <comment ref="C143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можно отрезать:
с 1ого 1805;430;400;350мм
со 2ого 380;1360мм</t>
        </r>
      </text>
    </comment>
    <comment ref="B212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есть заков</t>
        </r>
      </text>
    </comment>
    <comment ref="H156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1400, 1815, 2555, 2620, 2845, 3200, 3400</t>
        </r>
      </text>
    </comment>
    <comment ref="C88" authorId="3">
      <text>
        <r>
          <rPr>
            <b/>
            <sz val="9"/>
            <rFont val="Tahoma"/>
            <family val="2"/>
          </rPr>
          <t>ludmila:</t>
        </r>
        <r>
          <rPr>
            <sz val="9"/>
            <rFont val="Tahoma"/>
            <family val="2"/>
          </rPr>
          <t xml:space="preserve">
4шт-95,7шт-100</t>
        </r>
      </text>
    </comment>
    <comment ref="C152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2400; 2630; 3625; 3680; 3950; 4050</t>
        </r>
      </text>
    </comment>
    <comment ref="H214" authorId="0">
      <text>
        <r>
          <rPr>
            <b/>
            <sz val="9"/>
            <rFont val="Tahoma"/>
            <family val="2"/>
          </rPr>
          <t xml:space="preserve">420, 435, 435, 480, 500, 670
</t>
        </r>
      </text>
    </comment>
    <comment ref="C150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1760
</t>
        </r>
      </text>
    </comment>
    <comment ref="C167" authorId="0">
      <text>
        <r>
          <rPr>
            <b/>
            <sz val="9"/>
            <rFont val="Tahoma"/>
            <family val="0"/>
          </rPr>
          <t>запил 125мм.</t>
        </r>
      </text>
    </comment>
    <comment ref="H234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Длина 650мм, (110мм отрезается), 950мм, (400мм с трещинами)</t>
        </r>
      </text>
    </comment>
  </commentList>
</comments>
</file>

<file path=xl/sharedStrings.xml><?xml version="1.0" encoding="utf-8"?>
<sst xmlns="http://schemas.openxmlformats.org/spreadsheetml/2006/main" count="1919" uniqueCount="1025">
  <si>
    <t>Марка</t>
  </si>
  <si>
    <t>Х12МФ</t>
  </si>
  <si>
    <t>5ХВ2С</t>
  </si>
  <si>
    <t>6ХВ2С</t>
  </si>
  <si>
    <t>12ХН3А</t>
  </si>
  <si>
    <t>3Х2В8Ф</t>
  </si>
  <si>
    <t>3Х3М3Ф</t>
  </si>
  <si>
    <t>5ХНМ</t>
  </si>
  <si>
    <t>У8А</t>
  </si>
  <si>
    <t>ХВГ</t>
  </si>
  <si>
    <t>4ХВ2С</t>
  </si>
  <si>
    <t>7Х3</t>
  </si>
  <si>
    <t>9ХС</t>
  </si>
  <si>
    <t xml:space="preserve">7Х3                </t>
  </si>
  <si>
    <t>Диаметр,
мм.</t>
  </si>
  <si>
    <t>Длина,
мм.</t>
  </si>
  <si>
    <t>Кол-во,
тн. (шт.)</t>
  </si>
  <si>
    <t>200 ков</t>
  </si>
  <si>
    <t>sales1@usm-74.com        www.usm-74.com</t>
  </si>
  <si>
    <t>5ХВ2СФ</t>
  </si>
  <si>
    <t>Сортамент металлопроката изготавлемаего на заказ.</t>
  </si>
  <si>
    <t>Срок изготовления от 10 дней.</t>
  </si>
  <si>
    <t>Кованный и катанный сортамент (круг, полоса, поковки)</t>
  </si>
  <si>
    <t>Профиль</t>
  </si>
  <si>
    <t>НТД</t>
  </si>
  <si>
    <t>У8 - У10А</t>
  </si>
  <si>
    <t>круг 10-180мм</t>
  </si>
  <si>
    <t>1435-99 / 2590-06</t>
  </si>
  <si>
    <t>круг 90-200мм</t>
  </si>
  <si>
    <t>1435-99 / 1133-71</t>
  </si>
  <si>
    <t>полоса 30-90х150-380мм</t>
  </si>
  <si>
    <t>1435-99 / 4405-75</t>
  </si>
  <si>
    <t>поковки</t>
  </si>
  <si>
    <t>1435-99 / 14-1-1530</t>
  </si>
  <si>
    <t>6-9ХС</t>
  </si>
  <si>
    <t>5950-00 / 2590-06</t>
  </si>
  <si>
    <t>5950-00 / 1133-71</t>
  </si>
  <si>
    <t>5950-00 / 4405-75</t>
  </si>
  <si>
    <t>5950-00 / 14-1-1530</t>
  </si>
  <si>
    <t>4Х5МФС</t>
  </si>
  <si>
    <t>6ХВ2С
5ХВ2СФ</t>
  </si>
  <si>
    <t>4Х4ВМФС
(ДИ22)</t>
  </si>
  <si>
    <t>5Х3В3МФС
(ДИ23)</t>
  </si>
  <si>
    <t>6Х6В3МФС
(ЭП569)</t>
  </si>
  <si>
    <t>14-1-5243 / 1133-71</t>
  </si>
  <si>
    <t>14-1-5243 / 4405-75</t>
  </si>
  <si>
    <t>14-1-5243 / 14-1-1530</t>
  </si>
  <si>
    <t>4Х5МФ1С</t>
  </si>
  <si>
    <t>Х12Ф1</t>
  </si>
  <si>
    <t>4Х5В2ФС
(ЭИ958)</t>
  </si>
  <si>
    <t>20-45</t>
  </si>
  <si>
    <t>14-1-1530</t>
  </si>
  <si>
    <t>40Х</t>
  </si>
  <si>
    <t>09Г2С</t>
  </si>
  <si>
    <t>30ХМА</t>
  </si>
  <si>
    <t>30ХГСА</t>
  </si>
  <si>
    <t>40ХН</t>
  </si>
  <si>
    <t>34ХН1М</t>
  </si>
  <si>
    <t>20Х2Н4А</t>
  </si>
  <si>
    <t>ШХ15СГ-В</t>
  </si>
  <si>
    <t>40ХН2МА</t>
  </si>
  <si>
    <t>12-30ХН3А</t>
  </si>
  <si>
    <t>12Х2НВФА
(ЭИ712)</t>
  </si>
  <si>
    <t>12Х2Н4А</t>
  </si>
  <si>
    <t>38ХН3МФА</t>
  </si>
  <si>
    <t>Катанный сортамент (круг)</t>
  </si>
  <si>
    <t>Углеродистая сталь</t>
  </si>
  <si>
    <t>Ст3сп, Ст4сп, Ст5сп</t>
  </si>
  <si>
    <t>круг 11-290 мм.</t>
  </si>
  <si>
    <t>ГОСТ 535-2005</t>
  </si>
  <si>
    <t>10-60</t>
  </si>
  <si>
    <t>ГОСТ 1050-88</t>
  </si>
  <si>
    <t>10-60, 70, 50А, Д,Ст3сп</t>
  </si>
  <si>
    <t>ОСТ-14-21-77</t>
  </si>
  <si>
    <t>10с</t>
  </si>
  <si>
    <t>ТС 135-12-2004</t>
  </si>
  <si>
    <t>ТС 135-49-2009</t>
  </si>
  <si>
    <t>60, 70</t>
  </si>
  <si>
    <t>ТС 135-44-2009</t>
  </si>
  <si>
    <t>ТС 135-91-2011</t>
  </si>
  <si>
    <t>20К обт.</t>
  </si>
  <si>
    <t>ТУ 14-1-1529-2003</t>
  </si>
  <si>
    <t xml:space="preserve">45 обт. </t>
  </si>
  <si>
    <t>ТУ 14-1-3000-2006</t>
  </si>
  <si>
    <t>20 обт.</t>
  </si>
  <si>
    <t>ТУ 14-1-584-73</t>
  </si>
  <si>
    <t>ТУ 14-1-2266-2007</t>
  </si>
  <si>
    <t>20, 25, 45</t>
  </si>
  <si>
    <t>ТУ 14-1-196-73</t>
  </si>
  <si>
    <t>ТУ 14-1-2330-77</t>
  </si>
  <si>
    <t>С-60, 35</t>
  </si>
  <si>
    <t>ГОСТ В 10230-75</t>
  </si>
  <si>
    <t>Ш1,Ш2,Ш3</t>
  </si>
  <si>
    <t>ТУ 14-1-5236-93</t>
  </si>
  <si>
    <t>Ш2</t>
  </si>
  <si>
    <t>ТС 135-15-2009</t>
  </si>
  <si>
    <t>ОС</t>
  </si>
  <si>
    <t>ГОСТ 4728-96</t>
  </si>
  <si>
    <t>55ПП, 55РП</t>
  </si>
  <si>
    <t>ТУ 1150-019-71613522-2009</t>
  </si>
  <si>
    <t>60ПП</t>
  </si>
  <si>
    <t>ТС 135-102-2011</t>
  </si>
  <si>
    <t>60ПП обт.</t>
  </si>
  <si>
    <t>ТС 135-103-2011</t>
  </si>
  <si>
    <t>Легированная сталь</t>
  </si>
  <si>
    <t>20Г-50Г, 47ГТ, 40ГР, 20ГА, 40ГА</t>
  </si>
  <si>
    <t>ГОСТ 4543-71</t>
  </si>
  <si>
    <t>20Г-50Г</t>
  </si>
  <si>
    <t>ОСТ- 14-21-77</t>
  </si>
  <si>
    <t>17ГС</t>
  </si>
  <si>
    <t>ГОСТ 19281-89</t>
  </si>
  <si>
    <t>ОСТ 14-21-77</t>
  </si>
  <si>
    <t>20ГС ( без термомех, упрочнения)</t>
  </si>
  <si>
    <t>ГОСТ 10884-94</t>
  </si>
  <si>
    <t>35ГР</t>
  </si>
  <si>
    <t>ТС 135-31-2008</t>
  </si>
  <si>
    <t>20Г</t>
  </si>
  <si>
    <t>ТС 135-33-2009</t>
  </si>
  <si>
    <t>Ч-50Г</t>
  </si>
  <si>
    <t>ТУ 14-105-543-92</t>
  </si>
  <si>
    <t>Ч-50Г обт.</t>
  </si>
  <si>
    <t>17Г1С</t>
  </si>
  <si>
    <t>ПР №3-3-2001</t>
  </si>
  <si>
    <t>10Г2, 30Г2, 35Г2, 45Г2</t>
  </si>
  <si>
    <t>09Г2С, 14Г2, 10Г2С1, 09Г2Д</t>
  </si>
  <si>
    <t>ГОСТ 1981-89</t>
  </si>
  <si>
    <t>40Г2, 09Г2С, 36Г2С, 10Г2А</t>
  </si>
  <si>
    <t>ОСТ 14-21=77</t>
  </si>
  <si>
    <t>09Г2С обт.</t>
  </si>
  <si>
    <t>Протокол №4-2010</t>
  </si>
  <si>
    <t>St 52.3</t>
  </si>
  <si>
    <t>ТС 135-08-2009</t>
  </si>
  <si>
    <t>65Г2С</t>
  </si>
  <si>
    <t>ТС 135-30-2008</t>
  </si>
  <si>
    <t>32Г2, 22ГЮ</t>
  </si>
  <si>
    <t>S355J2</t>
  </si>
  <si>
    <t>ТС 135-01-2009</t>
  </si>
  <si>
    <t>80Г2С</t>
  </si>
  <si>
    <t>ТН 14-1-3805-2000</t>
  </si>
  <si>
    <t>20MnB5</t>
  </si>
  <si>
    <t>ТС 135-61-2009</t>
  </si>
  <si>
    <t>25Г2С (прокат, гладкий профиль)</t>
  </si>
  <si>
    <t>ГОСТ 5781-82</t>
  </si>
  <si>
    <t>25Г2С обт.</t>
  </si>
  <si>
    <t>23Г2А</t>
  </si>
  <si>
    <t>ТС 135-92-2011</t>
  </si>
  <si>
    <t>17ГФ</t>
  </si>
  <si>
    <t>ТС 135-07-2007</t>
  </si>
  <si>
    <t>15Г1ФА</t>
  </si>
  <si>
    <t>ТС 135-50-2009</t>
  </si>
  <si>
    <t>15Х-50Х, 15ХА, 40ХА</t>
  </si>
  <si>
    <t>15Х-50Х, 38ХА</t>
  </si>
  <si>
    <t>32ХА</t>
  </si>
  <si>
    <t>ТС 135-71-2009</t>
  </si>
  <si>
    <t>38ХА</t>
  </si>
  <si>
    <t>ТУ 14-1-1602-75</t>
  </si>
  <si>
    <t>ТН 14-1-950-86</t>
  </si>
  <si>
    <t>ТУ 14-1-3238-2006</t>
  </si>
  <si>
    <t>38ХА обт.</t>
  </si>
  <si>
    <t>30Х, 31Х-35Х, 34ХА</t>
  </si>
  <si>
    <t>ТН 14-1-597-2002</t>
  </si>
  <si>
    <t>45Х1</t>
  </si>
  <si>
    <t>ГОСТ И 10230-75</t>
  </si>
  <si>
    <t>45ХЗ</t>
  </si>
  <si>
    <t>40ХГТР, 30ХРА</t>
  </si>
  <si>
    <t>30ХР</t>
  </si>
  <si>
    <t>ТС 135-36-2008</t>
  </si>
  <si>
    <t>18ХГ</t>
  </si>
  <si>
    <t>16MnCr5</t>
  </si>
  <si>
    <t>ТС 135-40-2008</t>
  </si>
  <si>
    <t>18ХГТ-30ХГТ</t>
  </si>
  <si>
    <t>25ХГТ обт.</t>
  </si>
  <si>
    <t>ТУ 14-1-707-2007</t>
  </si>
  <si>
    <t>18ХГТ</t>
  </si>
  <si>
    <t>ТС 135-95-2011</t>
  </si>
  <si>
    <t>33ХС,38ХС, 40ХС</t>
  </si>
  <si>
    <t>38ХС, 33ХС</t>
  </si>
  <si>
    <t>38ХС</t>
  </si>
  <si>
    <t>ТУ 14-1-381-72</t>
  </si>
  <si>
    <t>40ХС</t>
  </si>
  <si>
    <t>ТУ 14-1-950-86</t>
  </si>
  <si>
    <t>30ХГС, 20ХГСА, 30ХГСА, 35ХГСА</t>
  </si>
  <si>
    <t>30ХГСА, 14ХГС</t>
  </si>
  <si>
    <t>30ХГСА обт.</t>
  </si>
  <si>
    <t>20ХГР, 27ХГР</t>
  </si>
  <si>
    <t>35ХГР</t>
  </si>
  <si>
    <t>ТС 135-34-2008</t>
  </si>
  <si>
    <t>38ХФР</t>
  </si>
  <si>
    <t>ТС 135-16-2008</t>
  </si>
  <si>
    <t>40ХФА, 15ХФ, 15ХФА</t>
  </si>
  <si>
    <t>15ХФ</t>
  </si>
  <si>
    <t>60ХФА</t>
  </si>
  <si>
    <t>ТУ 14-1-162-72</t>
  </si>
  <si>
    <t>60ХФА кв.170</t>
  </si>
  <si>
    <t>ТС 135-78-2010</t>
  </si>
  <si>
    <t>50ХФА</t>
  </si>
  <si>
    <t>13ХФА</t>
  </si>
  <si>
    <t>ТС 135-60-2009</t>
  </si>
  <si>
    <t>ТС 135-81-2011</t>
  </si>
  <si>
    <t>20ХМ-35ХМ, 30ХМА, 35ХМА, 38ХМА, 38ХГМ, 25ХГМ,38ХМ</t>
  </si>
  <si>
    <t>30ХМ, 30ХМА, 25ХГМ</t>
  </si>
  <si>
    <t>ТС 135-09-2010</t>
  </si>
  <si>
    <t>ТС135-89-2010</t>
  </si>
  <si>
    <t>38ХМ обт.</t>
  </si>
  <si>
    <t>32ХМА-3 обт.</t>
  </si>
  <si>
    <t>ТС 135-73-2010</t>
  </si>
  <si>
    <t>32ХГМА</t>
  </si>
  <si>
    <t>45ХГМ</t>
  </si>
  <si>
    <t>ТС 135-80-2010</t>
  </si>
  <si>
    <t>45ХГМА</t>
  </si>
  <si>
    <t>ТС 135-99-2011</t>
  </si>
  <si>
    <t>35ХМА</t>
  </si>
  <si>
    <t>ТС 35-48-2009</t>
  </si>
  <si>
    <t>35ХМА обт.</t>
  </si>
  <si>
    <t>ТС 135-48-2009</t>
  </si>
  <si>
    <t>34CrMo4  обт.</t>
  </si>
  <si>
    <t>ТС 135-88-2010</t>
  </si>
  <si>
    <t>15ХМ</t>
  </si>
  <si>
    <t>40ГМФР</t>
  </si>
  <si>
    <t>ТУ 14-1-4566-89</t>
  </si>
  <si>
    <t>ТС 135-35-2008</t>
  </si>
  <si>
    <t>40ХМФА</t>
  </si>
  <si>
    <t>ТС 135-06-2009</t>
  </si>
  <si>
    <t>40ХМФА обт.</t>
  </si>
  <si>
    <t>42ХМФА кв 154, 156</t>
  </si>
  <si>
    <t>ТУ 14-1-5083-91</t>
  </si>
  <si>
    <t xml:space="preserve">42ХМФА </t>
  </si>
  <si>
    <t>ТУ 14-1-5520-2005</t>
  </si>
  <si>
    <t>12Х1МФ</t>
  </si>
  <si>
    <t>ГОСТ 20072-74</t>
  </si>
  <si>
    <t>25Х1МФ</t>
  </si>
  <si>
    <t>30ХЗМФ</t>
  </si>
  <si>
    <t>30ХЗМФА</t>
  </si>
  <si>
    <t>ТС 135-11-2010</t>
  </si>
  <si>
    <t>30ХЗМФА обт.</t>
  </si>
  <si>
    <t>ТС 35-11-2010</t>
  </si>
  <si>
    <t>26ХГ2МФ</t>
  </si>
  <si>
    <t>ТС 135-13-2010</t>
  </si>
  <si>
    <t>18ХМФБ</t>
  </si>
  <si>
    <t>ТС 135-66-2010</t>
  </si>
  <si>
    <t>18Х2МФБ</t>
  </si>
  <si>
    <t>ТС 135-77-2010</t>
  </si>
  <si>
    <t>18ХЗМФБ</t>
  </si>
  <si>
    <t>25Х1М1Ф</t>
  </si>
  <si>
    <t>38Х2МЮА</t>
  </si>
  <si>
    <t>38Х2МЮА обт.</t>
  </si>
  <si>
    <t>ТУ 14-1-564-73</t>
  </si>
  <si>
    <t>39Х2МЮА</t>
  </si>
  <si>
    <t>Рессорно-пружинная сталь</t>
  </si>
  <si>
    <t>65, 70</t>
  </si>
  <si>
    <t>ГОСТ 1459-79</t>
  </si>
  <si>
    <t>60Г, 65Г, 70Г</t>
  </si>
  <si>
    <t>ГОСТ 14959-79</t>
  </si>
  <si>
    <t>60Г обт.</t>
  </si>
  <si>
    <t>ГОСТ 1459-79, 3Б</t>
  </si>
  <si>
    <t>50ХГ</t>
  </si>
  <si>
    <t>55ХГР</t>
  </si>
  <si>
    <t>50ХФА, 50ХГФА</t>
  </si>
  <si>
    <t>ГОСТ 14956-79</t>
  </si>
  <si>
    <t>55С2, 60С2, 55С2А, 60С2А, 60С2ХА</t>
  </si>
  <si>
    <t>40С2</t>
  </si>
  <si>
    <t>ТС 135-39-2010</t>
  </si>
  <si>
    <t>60С2</t>
  </si>
  <si>
    <t>ТУ 14-1-5131-92</t>
  </si>
  <si>
    <t>70СЗА</t>
  </si>
  <si>
    <t>70СЗА обт.</t>
  </si>
  <si>
    <t>ГОСТ 14959-79, 3В</t>
  </si>
  <si>
    <t>60С2ХА обт.</t>
  </si>
  <si>
    <t>ГОСТ 1459-79,3А</t>
  </si>
  <si>
    <t>60С2ХФА</t>
  </si>
  <si>
    <t>60С2Н2А</t>
  </si>
  <si>
    <t>ГОСТ 14959-79, 4Б</t>
  </si>
  <si>
    <t>ГОСТ 1459-79, 4А</t>
  </si>
  <si>
    <t>Автоматная сталь</t>
  </si>
  <si>
    <t>А12, А20, А30, А35</t>
  </si>
  <si>
    <t>ГОСТ 1414-75</t>
  </si>
  <si>
    <t>А11 обт.</t>
  </si>
  <si>
    <t>ГОСТ 1414-75 (подгруппа в)</t>
  </si>
  <si>
    <t>АС14, АС40</t>
  </si>
  <si>
    <t>АС14 обт.</t>
  </si>
  <si>
    <t>АС35Г2, АС45Г2</t>
  </si>
  <si>
    <t>А40Г</t>
  </si>
  <si>
    <t>АС40Х</t>
  </si>
  <si>
    <t>Подшипниковая сталь</t>
  </si>
  <si>
    <t>ШХ 15, ШХ 15-В</t>
  </si>
  <si>
    <t>ГОСТ 801-78 для РЭН</t>
  </si>
  <si>
    <t>ШХ15СГ, ШХ15СГ-В</t>
  </si>
  <si>
    <t>ГОСТ 801-78</t>
  </si>
  <si>
    <t>ТС 135-96-2011</t>
  </si>
  <si>
    <t>ШХ15СГ-В обт.</t>
  </si>
  <si>
    <t>ТС 135-51-2009</t>
  </si>
  <si>
    <t>ШХ20СГ, ШХ20СГ-В</t>
  </si>
  <si>
    <t>ТУ 14-1-3911-85</t>
  </si>
  <si>
    <t>ШХ 15-В</t>
  </si>
  <si>
    <t>ТУ 14-1-3680-83</t>
  </si>
  <si>
    <t>ШХ15СГ</t>
  </si>
  <si>
    <t>ШК 15СГ-В</t>
  </si>
  <si>
    <t>ТС 135-21-2008</t>
  </si>
  <si>
    <t>ШХ 15СГ-В</t>
  </si>
  <si>
    <t>100Cr6</t>
  </si>
  <si>
    <t>ТС 135-75-2010</t>
  </si>
  <si>
    <t>100СrMnSi6-4</t>
  </si>
  <si>
    <t>NC 13575-2010</t>
  </si>
  <si>
    <t>Никельсодержащая сталь</t>
  </si>
  <si>
    <t>12ХН</t>
  </si>
  <si>
    <t>15ХСНД</t>
  </si>
  <si>
    <t>20ХН-50ХН, 20ХГНР, 20ТХНР, 19ХГН, 20ХГНТР, 38ХГН</t>
  </si>
  <si>
    <t>20ХГНР полоса 15x50</t>
  </si>
  <si>
    <t>ТС 135-19-2010</t>
  </si>
  <si>
    <t>10ХСНД</t>
  </si>
  <si>
    <t>25Х2ГНТА</t>
  </si>
  <si>
    <t>12ХН2, 15ХГНТА, 30ХГСН2А</t>
  </si>
  <si>
    <t xml:space="preserve">12ХН2 </t>
  </si>
  <si>
    <t>30ХГСН2А обт.</t>
  </si>
  <si>
    <t>ТУ 14-1-300-2006</t>
  </si>
  <si>
    <t xml:space="preserve">30ХГСН2А  </t>
  </si>
  <si>
    <t>30ХГСН2А</t>
  </si>
  <si>
    <t>ТС 135-47-2009</t>
  </si>
  <si>
    <t>12ХНЗА-З0ХНЗА</t>
  </si>
  <si>
    <t xml:space="preserve">12ХНЗА </t>
  </si>
  <si>
    <t>12ХНЗА</t>
  </si>
  <si>
    <t>ТУ 14-1-З81-72</t>
  </si>
  <si>
    <t>37ХНЗА</t>
  </si>
  <si>
    <t>12Х2Н4А, 20Х2Н4А</t>
  </si>
  <si>
    <t xml:space="preserve">12Х2Н4А </t>
  </si>
  <si>
    <t>20ХН4ФА</t>
  </si>
  <si>
    <t>20ХГНМ</t>
  </si>
  <si>
    <t>40ХГНМ</t>
  </si>
  <si>
    <t>22ХНМ</t>
  </si>
  <si>
    <t>ТУ 14-1-1011-2008</t>
  </si>
  <si>
    <t>20ХГНМТА</t>
  </si>
  <si>
    <t>ТУ 14-1-5509-2005</t>
  </si>
  <si>
    <t>ТС 135-38-2008</t>
  </si>
  <si>
    <t>20ХГНМТА обт.</t>
  </si>
  <si>
    <t>ТС 135-37-2010</t>
  </si>
  <si>
    <t>25ХГНМТА</t>
  </si>
  <si>
    <t>20ХМГСНМ обт.</t>
  </si>
  <si>
    <t>ТУ 14-1-2320-2007</t>
  </si>
  <si>
    <t>20ХН2М</t>
  </si>
  <si>
    <t>20ХН2М, 23ХН2М</t>
  </si>
  <si>
    <t>ТУ 14-1-2622-2008</t>
  </si>
  <si>
    <t>38Х2Н2МА, 40Х2Н2МА</t>
  </si>
  <si>
    <t xml:space="preserve">38Х2Н2МА </t>
  </si>
  <si>
    <t>34ХН1МА</t>
  </si>
  <si>
    <t>ТС 135-25-2010</t>
  </si>
  <si>
    <t>ОХН1М</t>
  </si>
  <si>
    <t>ТУ 14-1-4058-2006</t>
  </si>
  <si>
    <t>45ХН2МФА</t>
  </si>
  <si>
    <t>30ХН2МФА</t>
  </si>
  <si>
    <t>38ХН3МА</t>
  </si>
  <si>
    <t>35ХЗНМ</t>
  </si>
  <si>
    <t>36Х2Н2МФА</t>
  </si>
  <si>
    <t>18Х2Н4МА</t>
  </si>
  <si>
    <t>38ХНЗМФА</t>
  </si>
  <si>
    <t>ОХНЗМФА</t>
  </si>
  <si>
    <t>ОХНЗМ, ОХНЗМА</t>
  </si>
  <si>
    <t xml:space="preserve">Инструментальная сталь </t>
  </si>
  <si>
    <t>У7-У10, У8А</t>
  </si>
  <si>
    <t>ГОСТ 1435-99</t>
  </si>
  <si>
    <t>Х, 9Х1,6ХС</t>
  </si>
  <si>
    <t>ГОСТ 5950-2000</t>
  </si>
  <si>
    <t>ГОСТ 5950-2000, 4ГП</t>
  </si>
  <si>
    <t>9Г2Ф</t>
  </si>
  <si>
    <t>8ХФ</t>
  </si>
  <si>
    <t>4Х5МФС обт.</t>
  </si>
  <si>
    <t>ГОСТ 595-2000, 3ГП</t>
  </si>
  <si>
    <t>Калиброванный сортамент</t>
  </si>
  <si>
    <t>круг 10-80 мм.</t>
  </si>
  <si>
    <t>ТУ 14-1-2908-2003</t>
  </si>
  <si>
    <t>ТУ 14-1-910-74</t>
  </si>
  <si>
    <t>40-50, С45-С65</t>
  </si>
  <si>
    <t>АЦ20, АЦ40, АЦ45</t>
  </si>
  <si>
    <t>ТУ 14-1-3289-82</t>
  </si>
  <si>
    <t>11ЮА</t>
  </si>
  <si>
    <t>ТУ 14-1-3455-2003</t>
  </si>
  <si>
    <t>27СГ</t>
  </si>
  <si>
    <t>ТУ 14-1-487-73</t>
  </si>
  <si>
    <t>15Г50Г, 47ГТ</t>
  </si>
  <si>
    <t>10Г2, 35Г2, 40Г2, 45Г2</t>
  </si>
  <si>
    <t>35Г2Р</t>
  </si>
  <si>
    <t>ТС 135-59-2009</t>
  </si>
  <si>
    <t>ТС 135-86-2010</t>
  </si>
  <si>
    <t>ТС 135-94-2011</t>
  </si>
  <si>
    <t>15Х-50Х, 15ХА-50ХА</t>
  </si>
  <si>
    <t>40Х, С-35Х, С-50Х</t>
  </si>
  <si>
    <t>15ХА, 38ХА</t>
  </si>
  <si>
    <t>15ХР</t>
  </si>
  <si>
    <t>ТУ 14-1-2422-78</t>
  </si>
  <si>
    <t>40ХГРТ</t>
  </si>
  <si>
    <t>50ХЗ</t>
  </si>
  <si>
    <t>ТС 135-18-2011</t>
  </si>
  <si>
    <t>33ХС-40ХС</t>
  </si>
  <si>
    <t>38ХС (шг)</t>
  </si>
  <si>
    <t>ТУ 14-1-2564-78</t>
  </si>
  <si>
    <t>20ХГСА-30ХГСА, 35ХГСА</t>
  </si>
  <si>
    <t>30ХГС, 30ХГСА, С35ХГС</t>
  </si>
  <si>
    <t>25ХГСА-30ХГСА</t>
  </si>
  <si>
    <t>40ХФА, 15ХФ</t>
  </si>
  <si>
    <t>25ХГМ</t>
  </si>
  <si>
    <t>20ХМ-30ХМ, 38ХГМ, 30ХМА, 38ХМ</t>
  </si>
  <si>
    <t>С-35ХМ</t>
  </si>
  <si>
    <t>30Х3МФА</t>
  </si>
  <si>
    <t>53ХМЮ</t>
  </si>
  <si>
    <t>ТУ 14-1-2232-2004</t>
  </si>
  <si>
    <t>65Г</t>
  </si>
  <si>
    <t>55С2, 60С2, 55С2А, 60С2А, 60С2Г</t>
  </si>
  <si>
    <t>60С2Г</t>
  </si>
  <si>
    <t>ТУ 14-178-448-2003</t>
  </si>
  <si>
    <t>60С2ХА</t>
  </si>
  <si>
    <t>ГОСТ 14959-79, 1А</t>
  </si>
  <si>
    <t>СТО 71915393-ТС 075-2008</t>
  </si>
  <si>
    <r>
      <t xml:space="preserve">60С2Н2А </t>
    </r>
    <r>
      <rPr>
        <sz val="8"/>
        <color indexed="8"/>
        <rFont val="Times New Roman"/>
        <family val="1"/>
      </rPr>
      <t>калибр</t>
    </r>
  </si>
  <si>
    <t>АС35Г2</t>
  </si>
  <si>
    <t>ГОСТ 801-78 ХВ</t>
  </si>
  <si>
    <t>20ХН-45ХН, 20ХГНР, 38ХГН, 19ХГН, 20ХНР, 20ХГНТР</t>
  </si>
  <si>
    <t>12ХН2, 15ХГН2ТА, 30ХГСН2А</t>
  </si>
  <si>
    <t>12ХН3А-20ХН3А</t>
  </si>
  <si>
    <t>25ХНЗ</t>
  </si>
  <si>
    <t>ТУ 14-1-437-72</t>
  </si>
  <si>
    <t>12Х2Н4А-20Х2Н4А</t>
  </si>
  <si>
    <t xml:space="preserve">40ХГНМ </t>
  </si>
  <si>
    <t>20ХН2М-23ХН2М</t>
  </si>
  <si>
    <t xml:space="preserve">40ХН2МА </t>
  </si>
  <si>
    <t xml:space="preserve">Прокат со специальной отделкой поверхности </t>
  </si>
  <si>
    <t>ГОСТ 14955-77</t>
  </si>
  <si>
    <t>ТУ 1150-09-71613522-2009</t>
  </si>
  <si>
    <t>15Г-50Г, 65Г</t>
  </si>
  <si>
    <t>40Х "селект"</t>
  </si>
  <si>
    <t>ТС 135-43-2008</t>
  </si>
  <si>
    <t>ТС 135-82-2010, h11 ГОСТ 14955-77</t>
  </si>
  <si>
    <t>15ХФ, 50ХФА</t>
  </si>
  <si>
    <t>20ХМ-30ХМ, 38ХМ, 38ХГМ, 30ХМА</t>
  </si>
  <si>
    <t>55С2-60С2, 55С2А- 60С2А, 60С2Г, 60С2ХА</t>
  </si>
  <si>
    <t>ТУ 14-178-488-2003</t>
  </si>
  <si>
    <t>ТУ 14-1-5416-2001</t>
  </si>
  <si>
    <t>ТС 135-84-2010</t>
  </si>
  <si>
    <t>А30</t>
  </si>
  <si>
    <t>АС14ХГН</t>
  </si>
  <si>
    <t>ТУ 14-1-4020-2007</t>
  </si>
  <si>
    <t>АС20ХГНМ</t>
  </si>
  <si>
    <t>н/д</t>
  </si>
  <si>
    <t>Марка
стали</t>
  </si>
  <si>
    <t>ст. 45</t>
  </si>
  <si>
    <t>200х200</t>
  </si>
  <si>
    <t>2400-3400</t>
  </si>
  <si>
    <t>30х150</t>
  </si>
  <si>
    <t>тел./факс: +7 (351) 777-41-64, 225-08-65, 700-01-83</t>
  </si>
  <si>
    <t>Стоимость и минимальный тоннаж уточняйте по телефонам: 
(351) 777-41-64, 225-08-65, 700-01-83     sales1@usm-74.com</t>
  </si>
  <si>
    <t>Р6М5</t>
  </si>
  <si>
    <t>Р18</t>
  </si>
  <si>
    <t>Х6ВФ</t>
  </si>
  <si>
    <t>4000-5000</t>
  </si>
  <si>
    <t>9Х1</t>
  </si>
  <si>
    <t>120 ков.</t>
  </si>
  <si>
    <t>360 ков.</t>
  </si>
  <si>
    <t>5ХНВ</t>
  </si>
  <si>
    <t>65х110</t>
  </si>
  <si>
    <t>390 ков.</t>
  </si>
  <si>
    <t>У10А</t>
  </si>
  <si>
    <t>115х115</t>
  </si>
  <si>
    <t>290 ков.</t>
  </si>
  <si>
    <t>60х155</t>
  </si>
  <si>
    <t>ИЗГОТАВЛИВАЕМ КРУГИ, ПОКОВКИ СПЕЦСТАЛЕЙ И СПЛАВОВ НА ЗАКАЗ от 300кг.
ПО ВАШИМ РАЗМЕРАМ В СЖАТЫЕ СРОКИ</t>
  </si>
  <si>
    <t>5х55</t>
  </si>
  <si>
    <t>4Х5МФ1С
(ЭП572)</t>
  </si>
  <si>
    <t>6Х3МФС (ЭП788)</t>
  </si>
  <si>
    <t>45ХН2МА</t>
  </si>
  <si>
    <t>160х225 ков.</t>
  </si>
  <si>
    <t>25х305 ков</t>
  </si>
  <si>
    <t>ШХ15</t>
  </si>
  <si>
    <t>65х80</t>
  </si>
  <si>
    <t>90 ков.</t>
  </si>
  <si>
    <t>60х65</t>
  </si>
  <si>
    <t>1060; 1070</t>
  </si>
  <si>
    <t>16Х3НВФМБ-Ш
(ДИ39-Ш)</t>
  </si>
  <si>
    <t>40Х13</t>
  </si>
  <si>
    <t>20х100</t>
  </si>
  <si>
    <t>35х85 ков</t>
  </si>
  <si>
    <t>20Х13</t>
  </si>
  <si>
    <t>9Х5ВФ</t>
  </si>
  <si>
    <t>130х245 ков.</t>
  </si>
  <si>
    <t>38Х2Н2МА</t>
  </si>
  <si>
    <t>50х170 ков.</t>
  </si>
  <si>
    <t>55х170 ков.</t>
  </si>
  <si>
    <t>45х190 ков.</t>
  </si>
  <si>
    <t>70х185 ков.</t>
  </si>
  <si>
    <t>65х150 ков.</t>
  </si>
  <si>
    <t>70х180 ков.</t>
  </si>
  <si>
    <t>80х95 ков.</t>
  </si>
  <si>
    <t>80х120 ков.</t>
  </si>
  <si>
    <t>80х140 ков.</t>
  </si>
  <si>
    <t>09Х16Н4Б (ЭП56)</t>
  </si>
  <si>
    <t>90х155 ков.</t>
  </si>
  <si>
    <t>350, 370, 720</t>
  </si>
  <si>
    <t>150х150 ков.</t>
  </si>
  <si>
    <t>260х260 ков.</t>
  </si>
  <si>
    <t>14Х17Н2 (ЭИ268)</t>
  </si>
  <si>
    <t>ст.45</t>
  </si>
  <si>
    <t>12Х18Н10Т</t>
  </si>
  <si>
    <t>160 ков.</t>
  </si>
  <si>
    <t>6Х6В3МФС (ЭП569)</t>
  </si>
  <si>
    <t>35х72 ков</t>
  </si>
  <si>
    <t>8Х4В9Ф2 (ЭИ347)</t>
  </si>
  <si>
    <t>2800-2900</t>
  </si>
  <si>
    <t>180х180</t>
  </si>
  <si>
    <t>5Х2МНФ (ДИ32)</t>
  </si>
  <si>
    <t>10Х17Н13М2Т
(ЭИ448)</t>
  </si>
  <si>
    <t>40х255</t>
  </si>
  <si>
    <t>50х70</t>
  </si>
  <si>
    <t>3840, 4830, 4710</t>
  </si>
  <si>
    <t>Х6Ф4М (ЭП770)</t>
  </si>
  <si>
    <t>250х250</t>
  </si>
  <si>
    <t>160х160 ков.</t>
  </si>
  <si>
    <t>12х100</t>
  </si>
  <si>
    <t>4х45</t>
  </si>
  <si>
    <t>Толщина / ширина, мм.</t>
  </si>
  <si>
    <t>40Х9С2</t>
  </si>
  <si>
    <t>4000-4200</t>
  </si>
  <si>
    <t>25х75</t>
  </si>
  <si>
    <t>2935, 2955, 2875, 2790</t>
  </si>
  <si>
    <t>60С2А</t>
  </si>
  <si>
    <t>128х130</t>
  </si>
  <si>
    <t>85х290</t>
  </si>
  <si>
    <t>4Х5МФ1С (ЭП572)</t>
  </si>
  <si>
    <t>1800-2300</t>
  </si>
  <si>
    <t>3200-3400</t>
  </si>
  <si>
    <t>2400-3500</t>
  </si>
  <si>
    <t>70х360</t>
  </si>
  <si>
    <t>45ХН</t>
  </si>
  <si>
    <t>60х300</t>
  </si>
  <si>
    <t>280х370</t>
  </si>
  <si>
    <t>295х410</t>
  </si>
  <si>
    <t>3000-3415</t>
  </si>
  <si>
    <t>2700-3250</t>
  </si>
  <si>
    <t>280 ков.</t>
  </si>
  <si>
    <t>210 ков.</t>
  </si>
  <si>
    <t>8Х4В2МФС2 (ЭП761)</t>
  </si>
  <si>
    <t>4Х3М2ВФГС (ДИ41)</t>
  </si>
  <si>
    <t>1015, 1080</t>
  </si>
  <si>
    <t>45Х14Н14В2М
(ЭИ69)</t>
  </si>
  <si>
    <t>3Х3М3Ф (ЭИ76)</t>
  </si>
  <si>
    <t>130х135 ков.</t>
  </si>
  <si>
    <t>170 ков.</t>
  </si>
  <si>
    <t>200х200 ков.</t>
  </si>
  <si>
    <t>08Х17Т</t>
  </si>
  <si>
    <t>80 ков.</t>
  </si>
  <si>
    <t>200 ков.</t>
  </si>
  <si>
    <t>75 ков.</t>
  </si>
  <si>
    <t>6ХВГ</t>
  </si>
  <si>
    <t>600 ков.</t>
  </si>
  <si>
    <t>45х250</t>
  </si>
  <si>
    <t>5х100</t>
  </si>
  <si>
    <t>10х100</t>
  </si>
  <si>
    <t>30х100</t>
  </si>
  <si>
    <t>480 ков.</t>
  </si>
  <si>
    <t>30Х13</t>
  </si>
  <si>
    <t>150 ков.</t>
  </si>
  <si>
    <t>2600-4010</t>
  </si>
  <si>
    <t>35ХНМ</t>
  </si>
  <si>
    <t>250х250 ков.</t>
  </si>
  <si>
    <t>610 ков.</t>
  </si>
  <si>
    <t>260 ков.</t>
  </si>
  <si>
    <t xml:space="preserve"> 7Х2СМФ</t>
  </si>
  <si>
    <t>9ХВГ</t>
  </si>
  <si>
    <t>40х50</t>
  </si>
  <si>
    <t>16х65</t>
  </si>
  <si>
    <t>160-520</t>
  </si>
  <si>
    <t>80х80</t>
  </si>
  <si>
    <t>60х60</t>
  </si>
  <si>
    <t>40х40</t>
  </si>
  <si>
    <t>50х50</t>
  </si>
  <si>
    <t>25х100</t>
  </si>
  <si>
    <t>100х100</t>
  </si>
  <si>
    <t>95Х18
(ЭИ229)</t>
  </si>
  <si>
    <t>2920-3750</t>
  </si>
  <si>
    <t>2680-3600</t>
  </si>
  <si>
    <t>7ХГ2ВМФ (ЭП472)</t>
  </si>
  <si>
    <t>30х425</t>
  </si>
  <si>
    <t>45х425</t>
  </si>
  <si>
    <t>Х12</t>
  </si>
  <si>
    <t>148х148</t>
  </si>
  <si>
    <t>240 ков.</t>
  </si>
  <si>
    <t>140х170</t>
  </si>
  <si>
    <t>45х50</t>
  </si>
  <si>
    <t>160х555 ков.</t>
  </si>
  <si>
    <t>50х95</t>
  </si>
  <si>
    <t>50х165</t>
  </si>
  <si>
    <t>55х160</t>
  </si>
  <si>
    <t>25х45</t>
  </si>
  <si>
    <t>50х120</t>
  </si>
  <si>
    <t>45х165</t>
  </si>
  <si>
    <t>145 ков.</t>
  </si>
  <si>
    <t>130 ков.</t>
  </si>
  <si>
    <t>185 ков.</t>
  </si>
  <si>
    <t>1600-2000</t>
  </si>
  <si>
    <t>50х100</t>
  </si>
  <si>
    <t>35х80</t>
  </si>
  <si>
    <t>105х105</t>
  </si>
  <si>
    <t>60х125 ков</t>
  </si>
  <si>
    <t>55х100</t>
  </si>
  <si>
    <t>60х100</t>
  </si>
  <si>
    <t>140 ков.</t>
  </si>
  <si>
    <t>45х85</t>
  </si>
  <si>
    <t>70 ков.</t>
  </si>
  <si>
    <t>Р6М5К5</t>
  </si>
  <si>
    <t>40, 45</t>
  </si>
  <si>
    <t>25, 30</t>
  </si>
  <si>
    <t>135 ков.</t>
  </si>
  <si>
    <t>20, 65</t>
  </si>
  <si>
    <t>ХВСГФ</t>
  </si>
  <si>
    <t>ст.20</t>
  </si>
  <si>
    <t>50 ржав.</t>
  </si>
  <si>
    <r>
      <rPr>
        <b/>
        <sz val="12"/>
        <rFont val="Times New Roman"/>
        <family val="1"/>
      </rPr>
      <t>Склад:</t>
    </r>
    <r>
      <rPr>
        <sz val="12"/>
        <rFont val="Times New Roman"/>
        <family val="1"/>
      </rPr>
      <t xml:space="preserve"> г.Челябинск, ул. 2-ая Шагольская, д.25</t>
    </r>
  </si>
  <si>
    <r>
      <rPr>
        <b/>
        <sz val="12"/>
        <rFont val="Times New Roman"/>
        <family val="1"/>
      </rPr>
      <t>Офис:</t>
    </r>
    <r>
      <rPr>
        <sz val="12"/>
        <rFont val="Times New Roman"/>
        <family val="1"/>
      </rPr>
      <t xml:space="preserve"> 454130, г.Челябинск, ул. Красного Урала д.8 оф.33   </t>
    </r>
  </si>
  <si>
    <t>13Х15Н4АМ3-Ш
(ЭП310-Ш)</t>
  </si>
  <si>
    <t>85х140 ков.</t>
  </si>
  <si>
    <t>510, 1970</t>
  </si>
  <si>
    <t>90х160 ков</t>
  </si>
  <si>
    <t>50х90 ков.</t>
  </si>
  <si>
    <t>1500-1600</t>
  </si>
  <si>
    <t>100х150 ков.</t>
  </si>
  <si>
    <t>30х205 ков.</t>
  </si>
  <si>
    <t>45х165 ков.</t>
  </si>
  <si>
    <t>40х110 ков.</t>
  </si>
  <si>
    <t>190 ков.</t>
  </si>
  <si>
    <t>70х170 ков.</t>
  </si>
  <si>
    <t>60х200 ков.</t>
  </si>
  <si>
    <t>120х170 ков.</t>
  </si>
  <si>
    <t>215х270 ков.</t>
  </si>
  <si>
    <t>2535-2925, 4200</t>
  </si>
  <si>
    <t>165 ков.</t>
  </si>
  <si>
    <t>20х160</t>
  </si>
  <si>
    <t>2770, 2890, 3430, 3600, 3660, 3840, 3885</t>
  </si>
  <si>
    <t>ст.40</t>
  </si>
  <si>
    <t>3х40</t>
  </si>
  <si>
    <t>1620, 1800, 2010, 2170</t>
  </si>
  <si>
    <t>15Х16Н2АМ-Ш 
(ЭП479-Ш)</t>
  </si>
  <si>
    <t>4х40</t>
  </si>
  <si>
    <t>50х375</t>
  </si>
  <si>
    <t>2500-2700</t>
  </si>
  <si>
    <t>90х190 ков.</t>
  </si>
  <si>
    <t>1320, 1420</t>
  </si>
  <si>
    <t>3Х10В2Ф</t>
  </si>
  <si>
    <t>54 ков.</t>
  </si>
  <si>
    <t>80, 90</t>
  </si>
  <si>
    <t>90х130</t>
  </si>
  <si>
    <t>130х130</t>
  </si>
  <si>
    <t>ст.3</t>
  </si>
  <si>
    <t>ф580/ф245 ков.</t>
  </si>
  <si>
    <t>Полоса, Квадрат, Поковки прямоугольные</t>
  </si>
  <si>
    <t>2210, 2400, 2520</t>
  </si>
  <si>
    <t>ст.30</t>
  </si>
  <si>
    <t>6х40</t>
  </si>
  <si>
    <t>85х135 ков.</t>
  </si>
  <si>
    <t>440 ков.</t>
  </si>
  <si>
    <t>740 ков.</t>
  </si>
  <si>
    <t>1040-2920</t>
  </si>
  <si>
    <t>170х170</t>
  </si>
  <si>
    <t>50х115</t>
  </si>
  <si>
    <t>30х140</t>
  </si>
  <si>
    <t>15х130</t>
  </si>
  <si>
    <t>110х180 ков.</t>
  </si>
  <si>
    <t>2170-2450</t>
  </si>
  <si>
    <t>3830, 4270</t>
  </si>
  <si>
    <t>80х160 ков.</t>
  </si>
  <si>
    <t>30х200</t>
  </si>
  <si>
    <t>65х130 ков.</t>
  </si>
  <si>
    <t>60х180 ков.</t>
  </si>
  <si>
    <t>125х320 ков.</t>
  </si>
  <si>
    <t>90х145 ков.</t>
  </si>
  <si>
    <t>130х145 ков.</t>
  </si>
  <si>
    <t>90х110 ков.</t>
  </si>
  <si>
    <t>40х230 ков.</t>
  </si>
  <si>
    <t>90х100 ков.</t>
  </si>
  <si>
    <t>22х90 ков.</t>
  </si>
  <si>
    <t>15х90 ков.</t>
  </si>
  <si>
    <t>2100, 4550</t>
  </si>
  <si>
    <t>300х300 ков.</t>
  </si>
  <si>
    <t>130х160 ков.</t>
  </si>
  <si>
    <t>95х200 ков.</t>
  </si>
  <si>
    <t>40х95 ков.</t>
  </si>
  <si>
    <t>20х45</t>
  </si>
  <si>
    <t>150, 160</t>
  </si>
  <si>
    <t>25х40 ков.</t>
  </si>
  <si>
    <t>40х200</t>
  </si>
  <si>
    <t>1490, 1500, 1720</t>
  </si>
  <si>
    <t>2265, 2270</t>
  </si>
  <si>
    <t>200, 260</t>
  </si>
  <si>
    <t>18 рж</t>
  </si>
  <si>
    <t>17х365</t>
  </si>
  <si>
    <t>1500-1860</t>
  </si>
  <si>
    <t>1655-3460</t>
  </si>
  <si>
    <t>1535 (3шт)</t>
  </si>
  <si>
    <t>70х85</t>
  </si>
  <si>
    <t>110х215</t>
  </si>
  <si>
    <t>115х210</t>
  </si>
  <si>
    <t>125х210</t>
  </si>
  <si>
    <t>115 ков.</t>
  </si>
  <si>
    <t>78 ков.</t>
  </si>
  <si>
    <t>240, 340</t>
  </si>
  <si>
    <t>270 ков.</t>
  </si>
  <si>
    <t>170 (180)</t>
  </si>
  <si>
    <t>20Х1М1Ф1ТР
(ЭП182)</t>
  </si>
  <si>
    <t>1000 (2шт)</t>
  </si>
  <si>
    <t>1000, 2800-2900</t>
  </si>
  <si>
    <t>1140-3400</t>
  </si>
  <si>
    <t>190х190</t>
  </si>
  <si>
    <t>100х275 ков.</t>
  </si>
  <si>
    <t>140х140</t>
  </si>
  <si>
    <t>80х300 ков</t>
  </si>
  <si>
    <t>295 обточ.</t>
  </si>
  <si>
    <t>410 (2шт)</t>
  </si>
  <si>
    <t>65(95)х410</t>
  </si>
  <si>
    <t>100х100 ков.</t>
  </si>
  <si>
    <t>165х175</t>
  </si>
  <si>
    <t>130х515 ков.</t>
  </si>
  <si>
    <t>210х600 ков.</t>
  </si>
  <si>
    <t>9Х2МФ</t>
  </si>
  <si>
    <t>180х1200</t>
  </si>
  <si>
    <t>380 ков.</t>
  </si>
  <si>
    <t>30х35</t>
  </si>
  <si>
    <t>460 (2шт), 785</t>
  </si>
  <si>
    <t>22х45</t>
  </si>
  <si>
    <t>25х90</t>
  </si>
  <si>
    <t>70х95 ков.</t>
  </si>
  <si>
    <t>3940, 4070, 4080</t>
  </si>
  <si>
    <t>35х95</t>
  </si>
  <si>
    <t>2280-2500</t>
  </si>
  <si>
    <t>25 ржав.</t>
  </si>
  <si>
    <t>1570-2800</t>
  </si>
  <si>
    <t>490
обточ., УЗК</t>
  </si>
  <si>
    <t>4Х5В2ФС-Ш
(ЭИ958-Ш)</t>
  </si>
  <si>
    <t>2615-3620</t>
  </si>
  <si>
    <t>3Х3М3Ф
(ЭИ76)</t>
  </si>
  <si>
    <t>2885, 3930</t>
  </si>
  <si>
    <t>1680-1720</t>
  </si>
  <si>
    <t>ст. 05КП</t>
  </si>
  <si>
    <t>120х120</t>
  </si>
  <si>
    <t>2200-2900</t>
  </si>
  <si>
    <t>2050-2700</t>
  </si>
  <si>
    <t>2400-2900</t>
  </si>
  <si>
    <t>80х85 ков.</t>
  </si>
  <si>
    <t>85х200 ков.</t>
  </si>
  <si>
    <t>4х80</t>
  </si>
  <si>
    <t>110 ков.</t>
  </si>
  <si>
    <t>ф295/ф40</t>
  </si>
  <si>
    <t>ф190/ф75</t>
  </si>
  <si>
    <t>ф350/ф160</t>
  </si>
  <si>
    <t>ф205/ф70</t>
  </si>
  <si>
    <t>ф210/ф70</t>
  </si>
  <si>
    <t>ф220/ф100</t>
  </si>
  <si>
    <t>ф260/ф75</t>
  </si>
  <si>
    <t>ф270/ф85</t>
  </si>
  <si>
    <t>1300-3290</t>
  </si>
  <si>
    <t>130х265 ков.</t>
  </si>
  <si>
    <t>1290-1940</t>
  </si>
  <si>
    <t>36Н</t>
  </si>
  <si>
    <t>105 ков.</t>
  </si>
  <si>
    <t>22х84 ков.</t>
  </si>
  <si>
    <t>50х110 ков.</t>
  </si>
  <si>
    <t>100х140 ков.</t>
  </si>
  <si>
    <t>20х80 ков.</t>
  </si>
  <si>
    <t>250 (300)</t>
  </si>
  <si>
    <t>30х115 ков.</t>
  </si>
  <si>
    <t>40х90 ков.</t>
  </si>
  <si>
    <t>57х115</t>
  </si>
  <si>
    <t>80х115</t>
  </si>
  <si>
    <t>80х120</t>
  </si>
  <si>
    <t>80х135</t>
  </si>
  <si>
    <t>80Х20НС (ЭИ992)</t>
  </si>
  <si>
    <t>3000-4000</t>
  </si>
  <si>
    <t>20Х1М1Ф1БР (ЭП44)</t>
  </si>
  <si>
    <t>10х50</t>
  </si>
  <si>
    <t>280х280 ков.</t>
  </si>
  <si>
    <t>1170-1800</t>
  </si>
  <si>
    <t>2330-3160</t>
  </si>
  <si>
    <t>3600-5000</t>
  </si>
  <si>
    <t>30х43 ков.</t>
  </si>
  <si>
    <t>32х43 ков.</t>
  </si>
  <si>
    <t>38Х3НМ</t>
  </si>
  <si>
    <t>1460-2760</t>
  </si>
  <si>
    <t>500-980</t>
  </si>
  <si>
    <t>4200-4900</t>
  </si>
  <si>
    <t>2140-2890</t>
  </si>
  <si>
    <t>15-20х290</t>
  </si>
  <si>
    <t>40х310</t>
  </si>
  <si>
    <t>405, 425</t>
  </si>
  <si>
    <t>70х180</t>
  </si>
  <si>
    <t>95х310 ков.</t>
  </si>
  <si>
    <t>205х310 ков.</t>
  </si>
  <si>
    <t>60х110 ков.</t>
  </si>
  <si>
    <t>1130 (2шт)</t>
  </si>
  <si>
    <t>295, 305, 320, 365</t>
  </si>
  <si>
    <t>2200-3460</t>
  </si>
  <si>
    <t>60х225 ков.</t>
  </si>
  <si>
    <t>09Х16Н4Б
(ЭП56)</t>
  </si>
  <si>
    <t>25Х13Н2
(ЭИ474)</t>
  </si>
  <si>
    <t>60х220</t>
  </si>
  <si>
    <t>140, 145</t>
  </si>
  <si>
    <t>6х800</t>
  </si>
  <si>
    <t>6х250</t>
  </si>
  <si>
    <t>8х180</t>
  </si>
  <si>
    <t>4х560</t>
  </si>
  <si>
    <t>6х310</t>
  </si>
  <si>
    <t>10х200</t>
  </si>
  <si>
    <t>3х380</t>
  </si>
  <si>
    <t>5х920</t>
  </si>
  <si>
    <t>4х440</t>
  </si>
  <si>
    <t>8х380</t>
  </si>
  <si>
    <t>8х330</t>
  </si>
  <si>
    <t>4х100</t>
  </si>
  <si>
    <t>1160, 1220</t>
  </si>
  <si>
    <t>У12А</t>
  </si>
  <si>
    <t>40Х10С2М (ЭИ107)</t>
  </si>
  <si>
    <t>60х180</t>
  </si>
  <si>
    <t>50х150</t>
  </si>
  <si>
    <t>55х175 ков.</t>
  </si>
  <si>
    <t>55х245 ков.</t>
  </si>
  <si>
    <t>1500-1550</t>
  </si>
  <si>
    <t>1560-1910</t>
  </si>
  <si>
    <t>640, 1300, 1300, 1600</t>
  </si>
  <si>
    <t>2300-2700</t>
  </si>
  <si>
    <t>3390, 1770</t>
  </si>
  <si>
    <t>2650-5165</t>
  </si>
  <si>
    <t>1200-1300</t>
  </si>
  <si>
    <t>135 обточ.</t>
  </si>
  <si>
    <t>1900-2100</t>
  </si>
  <si>
    <t>1320-3400</t>
  </si>
  <si>
    <t>80х90ков.</t>
  </si>
  <si>
    <t>50х125</t>
  </si>
  <si>
    <t>15, 27, 65, 164, 173</t>
  </si>
  <si>
    <t>ф220/ф55</t>
  </si>
  <si>
    <t>2470-3985</t>
  </si>
  <si>
    <t>130х150</t>
  </si>
  <si>
    <t>1390, 2440</t>
  </si>
  <si>
    <t>1350 (2шт)</t>
  </si>
  <si>
    <t>95-100</t>
  </si>
  <si>
    <t>2660, 2665, 4030, 3355</t>
  </si>
  <si>
    <t>35, 60</t>
  </si>
  <si>
    <t>45, 530, 1080</t>
  </si>
  <si>
    <t>2450-2600</t>
  </si>
  <si>
    <t>2460-2530</t>
  </si>
  <si>
    <t>9х68</t>
  </si>
  <si>
    <t>70-270</t>
  </si>
  <si>
    <t>10х105</t>
  </si>
  <si>
    <t>10х150</t>
  </si>
  <si>
    <t>15х110</t>
  </si>
  <si>
    <t>13х135</t>
  </si>
  <si>
    <t>15х180</t>
  </si>
  <si>
    <t>15х170</t>
  </si>
  <si>
    <t>17х150</t>
  </si>
  <si>
    <t>180 ков.</t>
  </si>
  <si>
    <t>1700 (2шт)</t>
  </si>
  <si>
    <t>410, 450</t>
  </si>
  <si>
    <t>40х200 ков.</t>
  </si>
  <si>
    <t>525 (2шт)</t>
  </si>
  <si>
    <t>45х200 ков.</t>
  </si>
  <si>
    <t>430-1140</t>
  </si>
  <si>
    <t>110х170 ков.</t>
  </si>
  <si>
    <t>285 ков.</t>
  </si>
  <si>
    <t>35х90 ков.</t>
  </si>
  <si>
    <t>50х95 ков.</t>
  </si>
  <si>
    <t>11х80</t>
  </si>
  <si>
    <t>60х200</t>
  </si>
  <si>
    <t>260х300 ков.</t>
  </si>
  <si>
    <t>300 ков.</t>
  </si>
  <si>
    <t>2100, 2365</t>
  </si>
  <si>
    <t>180х230 ков.</t>
  </si>
  <si>
    <t>210х210 ков.</t>
  </si>
  <si>
    <t>1425, 1475, 1555, 1590</t>
  </si>
  <si>
    <t>20(35)х90</t>
  </si>
  <si>
    <t>145х200</t>
  </si>
  <si>
    <t>25х105</t>
  </si>
  <si>
    <t>30(50)х100</t>
  </si>
  <si>
    <t>18х210</t>
  </si>
  <si>
    <t>55(95)х260</t>
  </si>
  <si>
    <t>30(60)х500 ков.</t>
  </si>
  <si>
    <t>165, 385</t>
  </si>
  <si>
    <t>У7А</t>
  </si>
  <si>
    <t>10х400</t>
  </si>
  <si>
    <t>14х500</t>
  </si>
  <si>
    <t>50х250</t>
  </si>
  <si>
    <t>50х420</t>
  </si>
  <si>
    <t>50х400</t>
  </si>
  <si>
    <t>1500-1700</t>
  </si>
  <si>
    <t>80х500</t>
  </si>
  <si>
    <t>100х500</t>
  </si>
  <si>
    <t>190х190 ков.</t>
  </si>
  <si>
    <t>3500-4000</t>
  </si>
  <si>
    <t>3000-4500</t>
  </si>
  <si>
    <t>4000-4500</t>
  </si>
  <si>
    <t>45х380</t>
  </si>
  <si>
    <t>80х250 ков.</t>
  </si>
  <si>
    <t>20х225</t>
  </si>
  <si>
    <t>40Х2Н2МА</t>
  </si>
  <si>
    <t>860-2130</t>
  </si>
  <si>
    <t>150х150</t>
  </si>
  <si>
    <t>85, 860</t>
  </si>
  <si>
    <t>15(35)х200</t>
  </si>
  <si>
    <t>20х260</t>
  </si>
  <si>
    <t>436-670</t>
  </si>
  <si>
    <t>14х40</t>
  </si>
  <si>
    <t>1670, 1820, 2685, 2830</t>
  </si>
  <si>
    <t>ХН60ВТ
(ЭИ868)</t>
  </si>
  <si>
    <t xml:space="preserve"> ХН77ТЮР (ЭИ437Б)</t>
  </si>
  <si>
    <t>ХН62ВМТЮ (ЭП708)</t>
  </si>
  <si>
    <t>150-205</t>
  </si>
  <si>
    <t>45(85)х55(95)</t>
  </si>
  <si>
    <t>45х105</t>
  </si>
  <si>
    <t>70х200</t>
  </si>
  <si>
    <t>305, 320</t>
  </si>
  <si>
    <t>480-520</t>
  </si>
  <si>
    <t>2765, 3130</t>
  </si>
  <si>
    <t>980, 1400</t>
  </si>
  <si>
    <t>170 ков. обточ.</t>
  </si>
  <si>
    <t>185 ков. обточ.</t>
  </si>
  <si>
    <t>1355, 1360</t>
  </si>
  <si>
    <t>1325, 1400</t>
  </si>
  <si>
    <t>300-900, 1490</t>
  </si>
  <si>
    <t>4х1250</t>
  </si>
  <si>
    <t>1950-2700</t>
  </si>
  <si>
    <t>9Х4М3Ф2АГСТ (ЭК42)</t>
  </si>
  <si>
    <t>60, 65</t>
  </si>
  <si>
    <t>1460, 1580, 1690, 1740</t>
  </si>
  <si>
    <t>1400-3400</t>
  </si>
  <si>
    <t>2200-3200</t>
  </si>
  <si>
    <t>2670-4500</t>
  </si>
  <si>
    <t>145х245 ков.</t>
  </si>
  <si>
    <t>1415, 1720</t>
  </si>
  <si>
    <t>10х560</t>
  </si>
  <si>
    <t>125 ков.</t>
  </si>
  <si>
    <r>
      <t xml:space="preserve">  ОКАЗЫВАЕМ УСЛУГИ ПО РЕЗКЕ ЛЮБОГО МЕТАЛЛА: КРУГ ДО </t>
    </r>
    <r>
      <rPr>
        <b/>
        <sz val="12"/>
        <color indexed="12"/>
        <rFont val="Calibri"/>
        <family val="2"/>
      </rPr>
      <t>Ø</t>
    </r>
    <r>
      <rPr>
        <b/>
        <sz val="12"/>
        <color indexed="12"/>
        <rFont val="Arial"/>
        <family val="2"/>
      </rPr>
      <t>800мм., ПРЯМОУГОЛЬНИК 800х900мм.</t>
    </r>
  </si>
  <si>
    <t>1450, 2810 (2шт)</t>
  </si>
  <si>
    <t>1715-2750</t>
  </si>
  <si>
    <t>32,5</t>
  </si>
  <si>
    <t>1505, 1600</t>
  </si>
  <si>
    <t>195 ков.</t>
  </si>
  <si>
    <t>50 (2шт.)</t>
  </si>
  <si>
    <t>35, 1825</t>
  </si>
  <si>
    <t>1490, 2480</t>
  </si>
  <si>
    <t>20, 25, 1740</t>
  </si>
  <si>
    <t>2375, 2400-4050</t>
  </si>
  <si>
    <t>140х280 ков.</t>
  </si>
  <si>
    <t>235 ков.</t>
  </si>
  <si>
    <t>90х200</t>
  </si>
  <si>
    <t>45х155 ков.</t>
  </si>
  <si>
    <t>30х100 ков.</t>
  </si>
  <si>
    <t>110х130 ков.</t>
  </si>
  <si>
    <t>5Х3В3МФС (ДИ23)</t>
  </si>
  <si>
    <t>52х92</t>
  </si>
  <si>
    <t>50х85</t>
  </si>
  <si>
    <t>40х65</t>
  </si>
  <si>
    <t>300х475 ков.</t>
  </si>
  <si>
    <t>260х355</t>
  </si>
  <si>
    <t>120х540 ков.</t>
  </si>
  <si>
    <t>1970, 2050</t>
  </si>
  <si>
    <t>420, 660, 1300</t>
  </si>
  <si>
    <t>1750, 3290</t>
  </si>
  <si>
    <t>15х25</t>
  </si>
  <si>
    <t>510 ков.</t>
  </si>
  <si>
    <t>415 ков.</t>
  </si>
  <si>
    <t>420 ков.</t>
  </si>
  <si>
    <t>430 ков.</t>
  </si>
  <si>
    <t>3х30</t>
  </si>
  <si>
    <t>25х250</t>
  </si>
  <si>
    <t>б/м</t>
  </si>
  <si>
    <t>2545, 2805</t>
  </si>
  <si>
    <t>465, 735, 1095, 1110</t>
  </si>
  <si>
    <t>1175, 1275, 2300</t>
  </si>
  <si>
    <t>5х660</t>
  </si>
  <si>
    <t>610, 645</t>
  </si>
  <si>
    <t>40, 60, 310, 475</t>
  </si>
  <si>
    <t>100, 710, 730-1215</t>
  </si>
  <si>
    <t>35х67 ков.</t>
  </si>
  <si>
    <t>1160, 2875</t>
  </si>
  <si>
    <t>700, 740, 1070</t>
  </si>
  <si>
    <t>20Х23Н18 (ЭИ417)</t>
  </si>
  <si>
    <t>10Х11Н23Т3МР (ЭП33)</t>
  </si>
  <si>
    <t>95Х18-Ш
(ЭИ229-Ш)</t>
  </si>
  <si>
    <t>1800-2500</t>
  </si>
  <si>
    <t>2000-2500</t>
  </si>
  <si>
    <t>Круг, Поковка круглая</t>
  </si>
  <si>
    <t>475-750</t>
  </si>
  <si>
    <t>05КП</t>
  </si>
  <si>
    <t>525, 1850</t>
  </si>
  <si>
    <t>150, 980</t>
  </si>
  <si>
    <t>889, 1970</t>
  </si>
  <si>
    <t>1760, 4550</t>
  </si>
  <si>
    <t>1500-3235</t>
  </si>
  <si>
    <t>870, 960, 1000</t>
  </si>
  <si>
    <t>295, 310</t>
  </si>
  <si>
    <t>160х330 ков.</t>
  </si>
  <si>
    <t>745, 765</t>
  </si>
  <si>
    <t>20Х</t>
  </si>
  <si>
    <t>2300-4000</t>
  </si>
  <si>
    <t>1020, 1170, 1400</t>
  </si>
  <si>
    <t>30х30</t>
  </si>
  <si>
    <t>10х51</t>
  </si>
  <si>
    <t>25х70</t>
  </si>
  <si>
    <t>65х195 ков.</t>
  </si>
  <si>
    <t>70х140 ков.</t>
  </si>
  <si>
    <t>75х135 ков.</t>
  </si>
  <si>
    <t>80х110 ков.</t>
  </si>
  <si>
    <t>85х110 ков.</t>
  </si>
  <si>
    <t>85х115 ков.</t>
  </si>
  <si>
    <t>90х120 ков.</t>
  </si>
  <si>
    <t>250, 260</t>
  </si>
  <si>
    <t>14х25</t>
  </si>
  <si>
    <t>6Х7В7ФМ (ЭИ161)</t>
  </si>
  <si>
    <t>13х57</t>
  </si>
  <si>
    <t>1500, 1520, 1520</t>
  </si>
  <si>
    <t>3580, 5190, 5840, 5900</t>
  </si>
  <si>
    <r>
      <t xml:space="preserve">280, </t>
    </r>
    <r>
      <rPr>
        <sz val="11"/>
        <rFont val="Times New Roman"/>
        <family val="1"/>
      </rPr>
      <t>350, 675, 740, 1770</t>
    </r>
  </si>
  <si>
    <t>50х115 ков.</t>
  </si>
  <si>
    <t>2500-2800</t>
  </si>
  <si>
    <t>550, 1225</t>
  </si>
  <si>
    <t>1250-2070</t>
  </si>
  <si>
    <t>860, 1000</t>
  </si>
  <si>
    <t>375, 1570, 1870, 3100</t>
  </si>
  <si>
    <t>1700-3100</t>
  </si>
  <si>
    <t>240, 4050</t>
  </si>
  <si>
    <t>18х100 ков. фрез.</t>
  </si>
  <si>
    <t>145х225 ков.</t>
  </si>
  <si>
    <t>60х260</t>
  </si>
  <si>
    <t>Склад металлопроката Июнь 2022г.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</si>
</sst>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#,##0.000"/>
    <numFmt numFmtId="198" formatCode="0.000000"/>
    <numFmt numFmtId="199" formatCode="0.0000000"/>
    <numFmt numFmtId="200" formatCode="0.00000000"/>
    <numFmt numFmtId="201" formatCode="0.000000000"/>
    <numFmt numFmtId="202" formatCode="#,##0.0000"/>
    <numFmt numFmtId="203" formatCode="[$-FC19]d\ mmmm\ yyyy\ &quot;г.&quot;"/>
  </numFmts>
  <fonts count="6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93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93" fontId="15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center" vertical="center"/>
    </xf>
    <xf numFmtId="193" fontId="10" fillId="0" borderId="10" xfId="0" applyNumberFormat="1" applyFont="1" applyBorder="1" applyAlignment="1">
      <alignment horizontal="center" vertical="center" wrapText="1"/>
    </xf>
    <xf numFmtId="193" fontId="15" fillId="0" borderId="15" xfId="0" applyNumberFormat="1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6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 applyFill="1" applyAlignment="1">
      <alignment/>
    </xf>
    <xf numFmtId="193" fontId="1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35" borderId="10" xfId="4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962025</xdr:colOff>
      <xdr:row>3</xdr:row>
      <xdr:rowOff>228600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20454"/>
        <a:stretch>
          <a:fillRect/>
        </a:stretch>
      </xdr:blipFill>
      <xdr:spPr>
        <a:xfrm>
          <a:off x="57150" y="38100"/>
          <a:ext cx="3124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19317"/>
        <a:stretch>
          <a:fillRect/>
        </a:stretch>
      </xdr:blipFill>
      <xdr:spPr>
        <a:xfrm>
          <a:off x="47625" y="38100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m-7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2"/>
  <sheetViews>
    <sheetView tabSelected="1" zoomScaleSheetLayoutView="100" workbookViewId="0" topLeftCell="A4">
      <selection activeCell="A4" sqref="A4:I4"/>
    </sheetView>
  </sheetViews>
  <sheetFormatPr defaultColWidth="9.140625" defaultRowHeight="12.75"/>
  <cols>
    <col min="1" max="1" width="33.28125" style="0" customWidth="1"/>
    <col min="2" max="2" width="21.57421875" style="12" customWidth="1"/>
    <col min="3" max="3" width="25.421875" style="0" customWidth="1"/>
    <col min="4" max="4" width="20.140625" style="64" customWidth="1"/>
    <col min="5" max="5" width="11.421875" style="0" customWidth="1"/>
    <col min="6" max="6" width="29.00390625" style="0" customWidth="1"/>
    <col min="7" max="7" width="18.8515625" style="0" customWidth="1"/>
    <col min="8" max="8" width="20.8515625" style="0" customWidth="1"/>
    <col min="9" max="9" width="19.28125" style="64" customWidth="1"/>
  </cols>
  <sheetData>
    <row r="1" ht="20.25">
      <c r="A1" s="1"/>
    </row>
    <row r="2" ht="20.25">
      <c r="A2" s="1"/>
    </row>
    <row r="3" spans="1:9" ht="18.75">
      <c r="A3" s="84"/>
      <c r="B3" s="84"/>
      <c r="C3" s="84"/>
      <c r="D3" s="84"/>
      <c r="E3" s="84"/>
      <c r="F3" s="84"/>
      <c r="G3" s="84"/>
      <c r="H3" s="84"/>
      <c r="I3" s="84"/>
    </row>
    <row r="4" spans="1:9" ht="26.25" customHeight="1">
      <c r="A4" s="85" t="s">
        <v>1024</v>
      </c>
      <c r="B4" s="85"/>
      <c r="C4" s="85"/>
      <c r="D4" s="85"/>
      <c r="E4" s="85"/>
      <c r="F4" s="85"/>
      <c r="G4" s="85"/>
      <c r="H4" s="85"/>
      <c r="I4" s="85"/>
    </row>
    <row r="5" spans="1:9" ht="20.25">
      <c r="A5" s="30"/>
      <c r="B5" s="30"/>
      <c r="C5" s="30"/>
      <c r="D5" s="65"/>
      <c r="E5" s="30"/>
      <c r="F5" s="30"/>
      <c r="G5" s="30"/>
      <c r="H5" s="30"/>
      <c r="I5" s="65"/>
    </row>
    <row r="6" spans="1:9" ht="15.75">
      <c r="A6" s="86" t="s">
        <v>612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6" t="s">
        <v>613</v>
      </c>
      <c r="B7" s="86"/>
      <c r="C7" s="86"/>
      <c r="D7" s="86"/>
      <c r="E7" s="86"/>
      <c r="F7" s="86"/>
      <c r="G7" s="86"/>
      <c r="H7" s="86"/>
      <c r="I7" s="86"/>
    </row>
    <row r="8" spans="1:9" ht="15">
      <c r="A8" s="88" t="s">
        <v>446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9" t="s">
        <v>18</v>
      </c>
      <c r="B9" s="89"/>
      <c r="C9" s="89"/>
      <c r="D9" s="89"/>
      <c r="E9" s="89"/>
      <c r="F9" s="89"/>
      <c r="G9" s="89"/>
      <c r="H9" s="89"/>
      <c r="I9" s="89"/>
    </row>
    <row r="10" spans="1:9" ht="34.5" customHeight="1">
      <c r="A10" s="83" t="s">
        <v>462</v>
      </c>
      <c r="B10" s="83"/>
      <c r="C10" s="83"/>
      <c r="D10" s="83"/>
      <c r="E10" s="83"/>
      <c r="F10" s="83"/>
      <c r="G10" s="83"/>
      <c r="H10" s="83"/>
      <c r="I10" s="83"/>
    </row>
    <row r="11" spans="1:9" ht="34.5" customHeight="1">
      <c r="A11" s="83" t="s">
        <v>931</v>
      </c>
      <c r="B11" s="83"/>
      <c r="C11" s="83"/>
      <c r="D11" s="83"/>
      <c r="E11" s="83"/>
      <c r="F11" s="83"/>
      <c r="G11" s="83"/>
      <c r="H11" s="83"/>
      <c r="I11" s="83"/>
    </row>
    <row r="12" spans="6:7" ht="12" customHeight="1">
      <c r="F12" s="2"/>
      <c r="G12" s="2"/>
    </row>
    <row r="13" spans="1:9" ht="18.75">
      <c r="A13" s="87" t="s">
        <v>981</v>
      </c>
      <c r="B13" s="87"/>
      <c r="C13" s="87"/>
      <c r="D13" s="87"/>
      <c r="E13" s="87"/>
      <c r="F13" s="87"/>
      <c r="G13" s="87"/>
      <c r="H13" s="87"/>
      <c r="I13" s="87"/>
    </row>
    <row r="14" spans="1:9" ht="31.5">
      <c r="A14" s="40" t="s">
        <v>441</v>
      </c>
      <c r="B14" s="40" t="s">
        <v>14</v>
      </c>
      <c r="C14" s="40" t="s">
        <v>15</v>
      </c>
      <c r="D14" s="66" t="s">
        <v>16</v>
      </c>
      <c r="E14" s="5"/>
      <c r="F14" s="40" t="s">
        <v>441</v>
      </c>
      <c r="G14" s="40" t="s">
        <v>14</v>
      </c>
      <c r="H14" s="40" t="s">
        <v>15</v>
      </c>
      <c r="I14" s="66" t="s">
        <v>16</v>
      </c>
    </row>
    <row r="15" spans="1:9" ht="15.75">
      <c r="A15" s="50" t="s">
        <v>756</v>
      </c>
      <c r="B15" s="42">
        <v>24</v>
      </c>
      <c r="C15" s="42">
        <v>2410</v>
      </c>
      <c r="D15" s="52">
        <v>0.0092</v>
      </c>
      <c r="E15" s="5"/>
      <c r="F15" s="73" t="s">
        <v>5</v>
      </c>
      <c r="G15" s="34">
        <v>10</v>
      </c>
      <c r="H15" s="34" t="s">
        <v>524</v>
      </c>
      <c r="I15" s="35">
        <v>0.35</v>
      </c>
    </row>
    <row r="16" spans="1:9" ht="15.75">
      <c r="A16" s="78" t="s">
        <v>903</v>
      </c>
      <c r="B16" s="42">
        <v>12</v>
      </c>
      <c r="C16" s="42" t="s">
        <v>895</v>
      </c>
      <c r="D16" s="52">
        <v>0.0298</v>
      </c>
      <c r="E16" s="5"/>
      <c r="F16" s="74"/>
      <c r="G16" s="34">
        <v>12</v>
      </c>
      <c r="H16" s="34">
        <v>2100</v>
      </c>
      <c r="I16" s="35">
        <v>0.3</v>
      </c>
    </row>
    <row r="17" spans="1:9" ht="15.75">
      <c r="A17" s="80"/>
      <c r="B17" s="42">
        <v>16</v>
      </c>
      <c r="C17" s="42">
        <v>1740</v>
      </c>
      <c r="D17" s="52">
        <v>0.007</v>
      </c>
      <c r="E17" s="5"/>
      <c r="F17" s="74"/>
      <c r="G17" s="34">
        <v>14</v>
      </c>
      <c r="H17" s="34">
        <v>2100</v>
      </c>
      <c r="I17" s="35">
        <f>0.307-0.122-0.0026</f>
        <v>0.1824</v>
      </c>
    </row>
    <row r="18" spans="1:9" ht="15.75">
      <c r="A18" s="37" t="s">
        <v>904</v>
      </c>
      <c r="B18" s="42">
        <v>18</v>
      </c>
      <c r="C18" s="42" t="s">
        <v>440</v>
      </c>
      <c r="D18" s="52">
        <v>0.0037</v>
      </c>
      <c r="E18" s="5"/>
      <c r="F18" s="74"/>
      <c r="G18" s="34">
        <v>16</v>
      </c>
      <c r="H18" s="34" t="s">
        <v>639</v>
      </c>
      <c r="I18" s="35">
        <f>0.071+0.138-0.062-0.012-0.005-0.036-0.0041</f>
        <v>0.0899</v>
      </c>
    </row>
    <row r="19" spans="1:9" ht="15.75">
      <c r="A19" s="37" t="s">
        <v>905</v>
      </c>
      <c r="B19" s="42">
        <v>20</v>
      </c>
      <c r="C19" s="42" t="s">
        <v>440</v>
      </c>
      <c r="D19" s="52">
        <v>0.0037</v>
      </c>
      <c r="E19" s="5"/>
      <c r="F19" s="74"/>
      <c r="G19" s="34">
        <v>18</v>
      </c>
      <c r="H19" s="34">
        <v>2300</v>
      </c>
      <c r="I19" s="35">
        <f>0.287-0.0094</f>
        <v>0.27759999999999996</v>
      </c>
    </row>
    <row r="20" spans="1:9" ht="15.75">
      <c r="A20" s="73" t="s">
        <v>449</v>
      </c>
      <c r="B20" s="32">
        <v>1</v>
      </c>
      <c r="C20" s="32">
        <v>1500</v>
      </c>
      <c r="D20" s="36">
        <f>0.011-0.006</f>
        <v>0.004999999999999999</v>
      </c>
      <c r="E20" s="5"/>
      <c r="F20" s="74"/>
      <c r="G20" s="34">
        <v>20</v>
      </c>
      <c r="H20" s="34" t="s">
        <v>676</v>
      </c>
      <c r="I20" s="35">
        <f>0.226+0.548-0.2</f>
        <v>0.5740000000000001</v>
      </c>
    </row>
    <row r="21" spans="1:9" ht="30">
      <c r="A21" s="74"/>
      <c r="B21" s="32">
        <v>40</v>
      </c>
      <c r="C21" s="32" t="s">
        <v>1012</v>
      </c>
      <c r="D21" s="36">
        <f>0.0031+0.0038+0.0073+0.0083+0.0196</f>
        <v>0.0421</v>
      </c>
      <c r="E21" s="5"/>
      <c r="F21" s="74"/>
      <c r="G21" s="34">
        <v>25</v>
      </c>
      <c r="H21" s="34">
        <v>2100</v>
      </c>
      <c r="I21" s="35">
        <f>0.217+0.0095-0.01-0.0168</f>
        <v>0.1997</v>
      </c>
    </row>
    <row r="22" spans="1:9" ht="15.75">
      <c r="A22" s="74"/>
      <c r="B22" s="32">
        <v>45</v>
      </c>
      <c r="C22" s="32">
        <v>280</v>
      </c>
      <c r="D22" s="36">
        <v>0.0039</v>
      </c>
      <c r="E22" s="5"/>
      <c r="F22" s="74"/>
      <c r="G22" s="34">
        <v>30</v>
      </c>
      <c r="H22" s="34" t="s">
        <v>957</v>
      </c>
      <c r="I22" s="35">
        <f>0.028+0.021-0.01</f>
        <v>0.039</v>
      </c>
    </row>
    <row r="23" spans="1:9" ht="15.75">
      <c r="A23" s="74"/>
      <c r="B23" s="32">
        <v>50</v>
      </c>
      <c r="C23" s="32" t="s">
        <v>967</v>
      </c>
      <c r="D23" s="36">
        <f>0.0081+0.0081+0.0123+0.0191+0.0194</f>
        <v>0.067</v>
      </c>
      <c r="E23" s="5"/>
      <c r="F23" s="74"/>
      <c r="G23" s="32">
        <v>32</v>
      </c>
      <c r="H23" s="32" t="s">
        <v>532</v>
      </c>
      <c r="I23" s="36">
        <f>0.153-0.05</f>
        <v>0.103</v>
      </c>
    </row>
    <row r="24" spans="1:9" ht="15.75">
      <c r="A24" s="74"/>
      <c r="B24" s="32">
        <v>60</v>
      </c>
      <c r="C24" s="32">
        <v>980</v>
      </c>
      <c r="D24" s="36">
        <v>0.024</v>
      </c>
      <c r="E24" s="5"/>
      <c r="F24" s="74"/>
      <c r="G24" s="32">
        <v>34</v>
      </c>
      <c r="H24" s="32">
        <v>1000</v>
      </c>
      <c r="I24" s="36">
        <v>0.008</v>
      </c>
    </row>
    <row r="25" spans="1:9" ht="15.75">
      <c r="A25" s="74"/>
      <c r="B25" s="34" t="s">
        <v>603</v>
      </c>
      <c r="C25" s="34">
        <v>40</v>
      </c>
      <c r="D25" s="35">
        <v>0.0015</v>
      </c>
      <c r="E25" s="5"/>
      <c r="F25" s="74"/>
      <c r="G25" s="32">
        <v>35</v>
      </c>
      <c r="H25" s="32">
        <v>2775</v>
      </c>
      <c r="I25" s="36">
        <v>0.021</v>
      </c>
    </row>
    <row r="26" spans="1:9" ht="15.75">
      <c r="A26" s="74"/>
      <c r="B26" s="34">
        <v>75</v>
      </c>
      <c r="C26" s="34">
        <v>1065</v>
      </c>
      <c r="D26" s="35">
        <v>0.042</v>
      </c>
      <c r="E26" s="5"/>
      <c r="F26" s="74"/>
      <c r="G26" s="32">
        <v>36</v>
      </c>
      <c r="H26" s="32" t="s">
        <v>988</v>
      </c>
      <c r="I26" s="36">
        <f>0.294+0.0269</f>
        <v>0.32089999999999996</v>
      </c>
    </row>
    <row r="27" spans="1:9" ht="15.75">
      <c r="A27" s="75"/>
      <c r="B27" s="34">
        <v>90</v>
      </c>
      <c r="C27" s="34" t="s">
        <v>970</v>
      </c>
      <c r="D27" s="35">
        <f>0.0342+0.0359</f>
        <v>0.0701</v>
      </c>
      <c r="E27" s="5"/>
      <c r="F27" s="74"/>
      <c r="G27" s="34">
        <v>45</v>
      </c>
      <c r="H27" s="34" t="s">
        <v>827</v>
      </c>
      <c r="I27" s="35">
        <f>1.559-0.016-0.383-0.0396-0.0171-0.0344</f>
        <v>1.0689</v>
      </c>
    </row>
    <row r="28" spans="1:9" ht="15.75">
      <c r="A28" s="73" t="s">
        <v>604</v>
      </c>
      <c r="B28" s="32">
        <v>16</v>
      </c>
      <c r="C28" s="32" t="s">
        <v>774</v>
      </c>
      <c r="D28" s="36">
        <f>0.056-0.0008-0.0091</f>
        <v>0.0461</v>
      </c>
      <c r="E28" s="5"/>
      <c r="F28" s="74"/>
      <c r="G28" s="34">
        <v>80</v>
      </c>
      <c r="H28" s="34" t="s">
        <v>982</v>
      </c>
      <c r="I28" s="35">
        <f>0.019+0.02+0.021+0.021+0.021+0.022+0.023+0.025+0.03-0.0192</f>
        <v>0.1828</v>
      </c>
    </row>
    <row r="29" spans="1:9" ht="30">
      <c r="A29" s="74"/>
      <c r="B29" s="32">
        <v>25</v>
      </c>
      <c r="C29" s="32" t="s">
        <v>869</v>
      </c>
      <c r="D29" s="36">
        <v>0.0252</v>
      </c>
      <c r="E29" s="5"/>
      <c r="F29" s="74"/>
      <c r="G29" s="32" t="s">
        <v>471</v>
      </c>
      <c r="H29" s="32" t="s">
        <v>923</v>
      </c>
      <c r="I29" s="35">
        <f>0.389</f>
        <v>0.389</v>
      </c>
    </row>
    <row r="30" spans="1:9" ht="15.75">
      <c r="A30" s="75"/>
      <c r="B30" s="32">
        <v>45</v>
      </c>
      <c r="C30" s="32">
        <v>920</v>
      </c>
      <c r="D30" s="36">
        <v>0.0127</v>
      </c>
      <c r="E30" s="5"/>
      <c r="F30" s="74"/>
      <c r="G30" s="34">
        <v>120</v>
      </c>
      <c r="H30" s="34" t="s">
        <v>1020</v>
      </c>
      <c r="I30" s="35">
        <f>0.025+0.371</f>
        <v>0.396</v>
      </c>
    </row>
    <row r="31" spans="1:9" ht="15.75">
      <c r="A31" s="73" t="s">
        <v>448</v>
      </c>
      <c r="B31" s="32">
        <v>8</v>
      </c>
      <c r="C31" s="34" t="s">
        <v>503</v>
      </c>
      <c r="D31" s="35">
        <f>0.074-0.0012</f>
        <v>0.07279999999999999</v>
      </c>
      <c r="E31" s="5"/>
      <c r="F31" s="74"/>
      <c r="G31" s="32" t="s">
        <v>453</v>
      </c>
      <c r="H31" s="42" t="s">
        <v>703</v>
      </c>
      <c r="I31" s="52">
        <f>0.089+0.099</f>
        <v>0.188</v>
      </c>
    </row>
    <row r="32" spans="1:9" ht="15.75">
      <c r="A32" s="74"/>
      <c r="B32" s="32">
        <v>10</v>
      </c>
      <c r="C32" s="32" t="s">
        <v>704</v>
      </c>
      <c r="D32" s="35">
        <f>0.01+0.089-0.0019+0.034</f>
        <v>0.1311</v>
      </c>
      <c r="E32" s="5"/>
      <c r="F32" s="75"/>
      <c r="G32" s="32" t="s">
        <v>607</v>
      </c>
      <c r="H32" s="34">
        <v>1090</v>
      </c>
      <c r="I32" s="35">
        <v>0.124</v>
      </c>
    </row>
    <row r="33" spans="1:9" ht="15.75">
      <c r="A33" s="74"/>
      <c r="B33" s="32">
        <v>16</v>
      </c>
      <c r="C33" s="32" t="s">
        <v>932</v>
      </c>
      <c r="D33" s="35">
        <f>0.0024+0.0092</f>
        <v>0.0116</v>
      </c>
      <c r="E33" s="5"/>
      <c r="F33" s="45" t="s">
        <v>642</v>
      </c>
      <c r="G33" s="34" t="s">
        <v>546</v>
      </c>
      <c r="H33" s="34">
        <v>1780</v>
      </c>
      <c r="I33" s="35">
        <v>0.457</v>
      </c>
    </row>
    <row r="34" spans="1:9" ht="15.75">
      <c r="A34" s="74"/>
      <c r="B34" s="34">
        <v>18</v>
      </c>
      <c r="C34" s="34" t="s">
        <v>918</v>
      </c>
      <c r="D34" s="35">
        <f>0.051+0.002</f>
        <v>0.053</v>
      </c>
      <c r="E34" s="5"/>
      <c r="F34" s="73" t="s">
        <v>733</v>
      </c>
      <c r="G34" s="32">
        <v>15</v>
      </c>
      <c r="H34" s="32" t="s">
        <v>525</v>
      </c>
      <c r="I34" s="36">
        <v>0.295</v>
      </c>
    </row>
    <row r="35" spans="1:9" ht="15">
      <c r="A35" s="74"/>
      <c r="B35" s="32">
        <v>19</v>
      </c>
      <c r="C35" s="32">
        <v>1800</v>
      </c>
      <c r="D35" s="35">
        <f>0.024-0.0041</f>
        <v>0.0199</v>
      </c>
      <c r="E35" s="33"/>
      <c r="F35" s="74"/>
      <c r="G35" s="32">
        <v>60</v>
      </c>
      <c r="H35" s="32">
        <v>2490</v>
      </c>
      <c r="I35" s="36">
        <v>0.055</v>
      </c>
    </row>
    <row r="36" spans="1:9" ht="15">
      <c r="A36" s="74"/>
      <c r="B36" s="32">
        <v>20</v>
      </c>
      <c r="C36" s="32">
        <v>1330</v>
      </c>
      <c r="D36" s="35">
        <v>0.004</v>
      </c>
      <c r="E36" s="33"/>
      <c r="F36" s="74"/>
      <c r="G36" s="34">
        <v>115</v>
      </c>
      <c r="H36" s="34">
        <v>2550</v>
      </c>
      <c r="I36" s="35">
        <v>0.24</v>
      </c>
    </row>
    <row r="37" spans="1:9" ht="15">
      <c r="A37" s="74"/>
      <c r="B37" s="32">
        <v>25</v>
      </c>
      <c r="C37" s="32">
        <v>1300</v>
      </c>
      <c r="D37" s="35">
        <v>0.005</v>
      </c>
      <c r="E37" s="33"/>
      <c r="F37" s="74"/>
      <c r="G37" s="32">
        <v>130</v>
      </c>
      <c r="H37" s="32">
        <v>2550</v>
      </c>
      <c r="I37" s="36">
        <v>0.268</v>
      </c>
    </row>
    <row r="38" spans="1:9" ht="15">
      <c r="A38" s="74"/>
      <c r="B38" s="32">
        <v>40</v>
      </c>
      <c r="C38" s="32">
        <v>790</v>
      </c>
      <c r="D38" s="35">
        <v>0.0081</v>
      </c>
      <c r="E38" s="33"/>
      <c r="F38" s="75"/>
      <c r="G38" s="32" t="s">
        <v>747</v>
      </c>
      <c r="H38" s="32">
        <v>50</v>
      </c>
      <c r="I38" s="36">
        <v>0.028</v>
      </c>
    </row>
    <row r="39" spans="1:9" ht="15">
      <c r="A39" s="74"/>
      <c r="B39" s="34" t="s">
        <v>643</v>
      </c>
      <c r="C39" s="34" t="s">
        <v>644</v>
      </c>
      <c r="D39" s="35">
        <f>0.0017+0.0019</f>
        <v>0.0036</v>
      </c>
      <c r="E39" s="33"/>
      <c r="F39" s="73" t="s">
        <v>478</v>
      </c>
      <c r="G39" s="34">
        <v>25</v>
      </c>
      <c r="H39" s="34" t="s">
        <v>755</v>
      </c>
      <c r="I39" s="35">
        <v>0.0124</v>
      </c>
    </row>
    <row r="40" spans="1:9" ht="15">
      <c r="A40" s="74"/>
      <c r="B40" s="34">
        <v>55</v>
      </c>
      <c r="C40" s="34" t="s">
        <v>972</v>
      </c>
      <c r="D40" s="35">
        <f>0.0021+0.014+0.0143+0.107</f>
        <v>0.1374</v>
      </c>
      <c r="E40" s="33"/>
      <c r="F40" s="74"/>
      <c r="G40" s="34">
        <v>30</v>
      </c>
      <c r="H40" s="34" t="s">
        <v>619</v>
      </c>
      <c r="I40" s="35">
        <v>0.0177</v>
      </c>
    </row>
    <row r="41" spans="1:9" ht="15">
      <c r="A41" s="74"/>
      <c r="B41" s="34">
        <v>65</v>
      </c>
      <c r="C41" s="34">
        <v>295</v>
      </c>
      <c r="D41" s="35">
        <v>0.0079</v>
      </c>
      <c r="E41" s="33"/>
      <c r="F41" s="74"/>
      <c r="G41" s="34" t="s">
        <v>746</v>
      </c>
      <c r="H41" s="34">
        <v>230</v>
      </c>
      <c r="I41" s="35">
        <v>0.053</v>
      </c>
    </row>
    <row r="42" spans="1:9" ht="15">
      <c r="A42" s="74"/>
      <c r="B42" s="34">
        <v>70</v>
      </c>
      <c r="C42" s="34" t="s">
        <v>971</v>
      </c>
      <c r="D42" s="35">
        <f>0.0014+0.0014+0.0019+0.0098+0.0149</f>
        <v>0.0294</v>
      </c>
      <c r="E42" s="33"/>
      <c r="F42" s="74"/>
      <c r="G42" s="34" t="s">
        <v>546</v>
      </c>
      <c r="H42" s="34" t="s">
        <v>956</v>
      </c>
      <c r="I42" s="35">
        <f>0.113+0.18+0.34</f>
        <v>0.633</v>
      </c>
    </row>
    <row r="43" spans="1:9" ht="15">
      <c r="A43" s="74"/>
      <c r="B43" s="34" t="s">
        <v>545</v>
      </c>
      <c r="C43" s="34" t="s">
        <v>605</v>
      </c>
      <c r="D43" s="35">
        <f>0.002+0.002</f>
        <v>0.004</v>
      </c>
      <c r="E43" s="33"/>
      <c r="F43" s="74"/>
      <c r="G43" s="34" t="s">
        <v>561</v>
      </c>
      <c r="H43" s="34">
        <v>1320</v>
      </c>
      <c r="I43" s="35">
        <v>0.515</v>
      </c>
    </row>
    <row r="44" spans="1:9" ht="15">
      <c r="A44" s="74"/>
      <c r="B44" s="34">
        <v>90</v>
      </c>
      <c r="C44" s="34" t="s">
        <v>830</v>
      </c>
      <c r="D44" s="35">
        <f>0.0089+0.0092+0.0009+0.0014+0.0035</f>
        <v>0.023899999999999998</v>
      </c>
      <c r="E44" s="33"/>
      <c r="F44" s="74"/>
      <c r="G44" s="34" t="s">
        <v>745</v>
      </c>
      <c r="H44" s="34">
        <v>75</v>
      </c>
      <c r="I44" s="35">
        <v>0.039</v>
      </c>
    </row>
    <row r="45" spans="1:9" ht="15">
      <c r="A45" s="74"/>
      <c r="B45" s="34">
        <v>110</v>
      </c>
      <c r="C45" s="34" t="s">
        <v>798</v>
      </c>
      <c r="D45" s="36">
        <f>0.0116+0.0114</f>
        <v>0.023</v>
      </c>
      <c r="E45" s="33"/>
      <c r="F45" s="75"/>
      <c r="G45" s="34" t="s">
        <v>710</v>
      </c>
      <c r="H45" s="34">
        <v>2915</v>
      </c>
      <c r="I45" s="35">
        <v>1.554</v>
      </c>
    </row>
    <row r="46" spans="1:9" ht="15">
      <c r="A46" s="74"/>
      <c r="B46" s="34">
        <v>115</v>
      </c>
      <c r="C46" s="34">
        <v>160</v>
      </c>
      <c r="D46" s="36">
        <f>0.0131+0.0131</f>
        <v>0.0262</v>
      </c>
      <c r="E46" s="33"/>
      <c r="F46" s="31" t="s">
        <v>555</v>
      </c>
      <c r="G46" s="32" t="s">
        <v>546</v>
      </c>
      <c r="H46" s="34">
        <v>2445</v>
      </c>
      <c r="I46" s="35">
        <v>0.67</v>
      </c>
    </row>
    <row r="47" spans="1:9" ht="15">
      <c r="A47" s="74"/>
      <c r="B47" s="34">
        <v>124</v>
      </c>
      <c r="C47" s="34">
        <v>150</v>
      </c>
      <c r="D47" s="36">
        <v>0.0154</v>
      </c>
      <c r="E47" s="33"/>
      <c r="F47" s="50" t="s">
        <v>475</v>
      </c>
      <c r="G47" s="34">
        <v>155</v>
      </c>
      <c r="H47" s="34" t="s">
        <v>940</v>
      </c>
      <c r="I47" s="35">
        <v>0.273</v>
      </c>
    </row>
    <row r="48" spans="1:9" ht="15">
      <c r="A48" s="74"/>
      <c r="B48" s="34" t="s">
        <v>601</v>
      </c>
      <c r="C48" s="34" t="s">
        <v>922</v>
      </c>
      <c r="D48" s="35">
        <f>0.0269+0.0627</f>
        <v>0.08960000000000001</v>
      </c>
      <c r="E48" s="33"/>
      <c r="F48" s="31" t="s">
        <v>496</v>
      </c>
      <c r="G48" s="32" t="s">
        <v>546</v>
      </c>
      <c r="H48" s="32" t="s">
        <v>911</v>
      </c>
      <c r="I48" s="35">
        <v>0.129</v>
      </c>
    </row>
    <row r="49" spans="1:9" ht="15">
      <c r="A49" s="75"/>
      <c r="B49" s="34" t="s">
        <v>556</v>
      </c>
      <c r="C49" s="34">
        <v>50</v>
      </c>
      <c r="D49" s="35">
        <v>0.0086</v>
      </c>
      <c r="E49" s="33"/>
      <c r="F49" s="31" t="s">
        <v>769</v>
      </c>
      <c r="G49" s="32">
        <v>28</v>
      </c>
      <c r="H49" s="32" t="s">
        <v>775</v>
      </c>
      <c r="I49" s="35">
        <f>0.197-0.0049-0.0054-0.0053</f>
        <v>0.18140000000000003</v>
      </c>
    </row>
    <row r="50" spans="1:9" ht="15" customHeight="1">
      <c r="A50" s="73" t="s">
        <v>10</v>
      </c>
      <c r="B50" s="34">
        <v>50</v>
      </c>
      <c r="C50" s="34" t="s">
        <v>444</v>
      </c>
      <c r="D50" s="36">
        <v>0.115</v>
      </c>
      <c r="E50" s="33"/>
      <c r="F50" s="73" t="s">
        <v>573</v>
      </c>
      <c r="G50" s="34">
        <v>10</v>
      </c>
      <c r="H50" s="34">
        <v>1650</v>
      </c>
      <c r="I50" s="35">
        <f>0.06-0.0008-0.0011-0.01-0.0184-0.0038</f>
        <v>0.025899999999999996</v>
      </c>
    </row>
    <row r="51" spans="1:9" ht="15" customHeight="1">
      <c r="A51" s="74"/>
      <c r="B51" s="34" t="s">
        <v>593</v>
      </c>
      <c r="C51" s="32">
        <v>50</v>
      </c>
      <c r="D51" s="36">
        <f>3*0.01</f>
        <v>0.03</v>
      </c>
      <c r="E51" s="33"/>
      <c r="F51" s="74"/>
      <c r="G51" s="34">
        <v>14</v>
      </c>
      <c r="H51" s="34" t="s">
        <v>1019</v>
      </c>
      <c r="I51" s="35">
        <v>0.0454</v>
      </c>
    </row>
    <row r="52" spans="1:9" ht="15" customHeight="1">
      <c r="A52" s="75"/>
      <c r="B52" s="34" t="s">
        <v>624</v>
      </c>
      <c r="C52" s="34">
        <v>50</v>
      </c>
      <c r="D52" s="35">
        <v>0.011</v>
      </c>
      <c r="E52" s="33"/>
      <c r="F52" s="74"/>
      <c r="G52" s="34">
        <v>18</v>
      </c>
      <c r="H52" s="34">
        <v>3000</v>
      </c>
      <c r="I52" s="35">
        <v>0.0522</v>
      </c>
    </row>
    <row r="53" spans="1:9" ht="15">
      <c r="A53" s="73" t="s">
        <v>2</v>
      </c>
      <c r="B53" s="34">
        <v>35</v>
      </c>
      <c r="C53" s="34" t="s">
        <v>781</v>
      </c>
      <c r="D53" s="35">
        <v>0.121</v>
      </c>
      <c r="E53" s="33"/>
      <c r="F53" s="74"/>
      <c r="G53" s="34">
        <v>20</v>
      </c>
      <c r="H53" s="34" t="s">
        <v>690</v>
      </c>
      <c r="I53" s="35">
        <f>0.055-0.0044-0.0089-0.0046-0.0055-0.0032-0.0045-0.0036-0.004+0.159-0.159-0.004-0.0042-0.0041+0.0039</f>
        <v>0.00790000000000001</v>
      </c>
    </row>
    <row r="54" spans="1:9" ht="15">
      <c r="A54" s="74"/>
      <c r="B54" s="34">
        <v>150</v>
      </c>
      <c r="C54" s="34">
        <v>2500</v>
      </c>
      <c r="D54" s="35">
        <v>0.285</v>
      </c>
      <c r="E54" s="33"/>
      <c r="F54" s="74"/>
      <c r="G54" s="34">
        <v>29</v>
      </c>
      <c r="H54" s="34" t="s">
        <v>691</v>
      </c>
      <c r="I54" s="35">
        <f>0.097-0.0083-0.0124-0.051</f>
        <v>0.02530000000000001</v>
      </c>
    </row>
    <row r="55" spans="1:9" ht="30">
      <c r="A55" s="75"/>
      <c r="B55" s="34">
        <v>250</v>
      </c>
      <c r="C55" s="34">
        <v>990</v>
      </c>
      <c r="D55" s="35">
        <v>0.387</v>
      </c>
      <c r="E55" s="33"/>
      <c r="F55" s="74"/>
      <c r="G55" s="34">
        <v>32</v>
      </c>
      <c r="H55" s="34" t="s">
        <v>1018</v>
      </c>
      <c r="I55" s="35">
        <f>0.0024+0.0095+0.0114+0.0194</f>
        <v>0.0427</v>
      </c>
    </row>
    <row r="56" spans="1:9" ht="15">
      <c r="A56" s="73" t="s">
        <v>3</v>
      </c>
      <c r="B56" s="34">
        <v>35</v>
      </c>
      <c r="C56" s="34" t="s">
        <v>440</v>
      </c>
      <c r="D56" s="35">
        <v>0.35</v>
      </c>
      <c r="E56" s="33"/>
      <c r="F56" s="74"/>
      <c r="G56" s="34" t="s">
        <v>934</v>
      </c>
      <c r="H56" s="34" t="s">
        <v>818</v>
      </c>
      <c r="I56" s="35">
        <f>0.146-0.0096-0.0094-0.106-0.0097</f>
        <v>0.011300000000000004</v>
      </c>
    </row>
    <row r="57" spans="1:9" ht="15">
      <c r="A57" s="75"/>
      <c r="B57" s="34" t="s">
        <v>865</v>
      </c>
      <c r="C57" s="34" t="s">
        <v>440</v>
      </c>
      <c r="D57" s="35">
        <v>1.56</v>
      </c>
      <c r="E57" s="33"/>
      <c r="F57" s="74"/>
      <c r="G57" s="34">
        <v>34</v>
      </c>
      <c r="H57" s="34" t="s">
        <v>1017</v>
      </c>
      <c r="I57" s="35">
        <f>0.0059+0.0069</f>
        <v>0.012799999999999999</v>
      </c>
    </row>
    <row r="58" spans="1:9" ht="30">
      <c r="A58" s="73" t="s">
        <v>702</v>
      </c>
      <c r="B58" s="34" t="s">
        <v>471</v>
      </c>
      <c r="C58" s="32">
        <v>800</v>
      </c>
      <c r="D58" s="48">
        <v>0.045</v>
      </c>
      <c r="E58" s="33"/>
      <c r="F58" s="74"/>
      <c r="G58" s="34">
        <v>35</v>
      </c>
      <c r="H58" s="34" t="s">
        <v>968</v>
      </c>
      <c r="I58" s="35">
        <f>0.0089+0.0096+0.051</f>
        <v>0.06949999999999999</v>
      </c>
    </row>
    <row r="59" spans="1:9" ht="15">
      <c r="A59" s="74"/>
      <c r="B59" s="34" t="s">
        <v>697</v>
      </c>
      <c r="C59" s="32">
        <v>860</v>
      </c>
      <c r="D59" s="48">
        <v>0.071</v>
      </c>
      <c r="E59" s="33"/>
      <c r="F59" s="74"/>
      <c r="G59" s="34">
        <v>40</v>
      </c>
      <c r="H59" s="34">
        <v>2130</v>
      </c>
      <c r="I59" s="35">
        <f>0.1-0.058</f>
        <v>0.042</v>
      </c>
    </row>
    <row r="60" spans="1:9" ht="15">
      <c r="A60" s="74"/>
      <c r="B60" s="34" t="s">
        <v>592</v>
      </c>
      <c r="C60" s="32">
        <v>1015</v>
      </c>
      <c r="D60" s="48">
        <v>0.115</v>
      </c>
      <c r="E60" s="33"/>
      <c r="F60" s="74"/>
      <c r="G60" s="34">
        <v>42</v>
      </c>
      <c r="H60" s="34">
        <v>1100</v>
      </c>
      <c r="I60" s="35">
        <v>0.0111</v>
      </c>
    </row>
    <row r="61" spans="1:9" ht="15">
      <c r="A61" s="75"/>
      <c r="B61" s="34" t="s">
        <v>701</v>
      </c>
      <c r="C61" s="34">
        <v>765</v>
      </c>
      <c r="D61" s="48">
        <v>0.154</v>
      </c>
      <c r="E61" s="33"/>
      <c r="F61" s="74"/>
      <c r="G61" s="34">
        <v>45</v>
      </c>
      <c r="H61" s="34">
        <v>725</v>
      </c>
      <c r="I61" s="35">
        <v>0.0089</v>
      </c>
    </row>
    <row r="62" spans="1:9" ht="15">
      <c r="A62" s="58" t="s">
        <v>771</v>
      </c>
      <c r="B62" s="34" t="s">
        <v>825</v>
      </c>
      <c r="C62" s="34" t="s">
        <v>824</v>
      </c>
      <c r="D62" s="35">
        <v>0.42</v>
      </c>
      <c r="E62" s="33"/>
      <c r="F62" s="75"/>
      <c r="G62" s="34">
        <v>60</v>
      </c>
      <c r="H62" s="34" t="s">
        <v>793</v>
      </c>
      <c r="I62" s="35">
        <f>0.2078-0.091</f>
        <v>0.11680000000000001</v>
      </c>
    </row>
    <row r="63" spans="1:9" ht="15">
      <c r="A63" s="73" t="s">
        <v>228</v>
      </c>
      <c r="B63" s="34">
        <v>65</v>
      </c>
      <c r="C63" s="34" t="s">
        <v>933</v>
      </c>
      <c r="D63" s="48">
        <v>0.305</v>
      </c>
      <c r="E63" s="33"/>
      <c r="F63" s="73" t="s">
        <v>544</v>
      </c>
      <c r="G63" s="32" t="s">
        <v>547</v>
      </c>
      <c r="H63" s="32">
        <v>1520</v>
      </c>
      <c r="I63" s="36">
        <v>0.059</v>
      </c>
    </row>
    <row r="64" spans="1:9" ht="15">
      <c r="A64" s="74"/>
      <c r="B64" s="34">
        <v>75</v>
      </c>
      <c r="C64" s="34">
        <v>3000</v>
      </c>
      <c r="D64" s="48">
        <v>0.168</v>
      </c>
      <c r="E64" s="33"/>
      <c r="F64" s="75"/>
      <c r="G64" s="32" t="s">
        <v>471</v>
      </c>
      <c r="H64" s="32">
        <v>1540</v>
      </c>
      <c r="I64" s="36">
        <v>0.068</v>
      </c>
    </row>
    <row r="65" spans="1:9" ht="15">
      <c r="A65" s="74"/>
      <c r="B65" s="34">
        <v>105</v>
      </c>
      <c r="C65" s="34">
        <v>210</v>
      </c>
      <c r="D65" s="48">
        <v>0.0143</v>
      </c>
      <c r="E65" s="33"/>
      <c r="F65" s="78" t="s">
        <v>498</v>
      </c>
      <c r="G65" s="34">
        <v>10</v>
      </c>
      <c r="H65" s="34">
        <v>3000</v>
      </c>
      <c r="I65" s="35">
        <v>0.015</v>
      </c>
    </row>
    <row r="66" spans="1:9" ht="15">
      <c r="A66" s="75"/>
      <c r="B66" s="34" t="s">
        <v>534</v>
      </c>
      <c r="C66" s="34">
        <v>1385</v>
      </c>
      <c r="D66" s="48">
        <v>0.77</v>
      </c>
      <c r="E66" s="33"/>
      <c r="F66" s="79"/>
      <c r="G66" s="34">
        <v>320</v>
      </c>
      <c r="H66" s="34">
        <v>510</v>
      </c>
      <c r="I66" s="35">
        <v>0.347</v>
      </c>
    </row>
    <row r="67" spans="1:9" ht="15">
      <c r="A67" s="31" t="s">
        <v>243</v>
      </c>
      <c r="B67" s="34" t="s">
        <v>581</v>
      </c>
      <c r="C67" s="34">
        <v>1365</v>
      </c>
      <c r="D67" s="48">
        <v>0.531</v>
      </c>
      <c r="E67" s="33"/>
      <c r="F67" s="80"/>
      <c r="G67" s="34">
        <v>350</v>
      </c>
      <c r="H67" s="34">
        <v>235</v>
      </c>
      <c r="I67" s="35">
        <v>0.185</v>
      </c>
    </row>
    <row r="68" spans="1:9" ht="15" customHeight="1">
      <c r="A68" s="73" t="s">
        <v>450</v>
      </c>
      <c r="B68" s="34">
        <v>65</v>
      </c>
      <c r="C68" s="34" t="s">
        <v>826</v>
      </c>
      <c r="D68" s="35">
        <v>0.914</v>
      </c>
      <c r="E68" s="33"/>
      <c r="F68" s="78" t="s">
        <v>796</v>
      </c>
      <c r="G68" s="34">
        <v>18</v>
      </c>
      <c r="H68" s="34">
        <v>3700</v>
      </c>
      <c r="I68" s="35">
        <v>0.187</v>
      </c>
    </row>
    <row r="69" spans="1:9" ht="17.25" customHeight="1">
      <c r="A69" s="74"/>
      <c r="B69" s="34" t="s">
        <v>930</v>
      </c>
      <c r="C69" s="34" t="s">
        <v>995</v>
      </c>
      <c r="D69" s="35">
        <f>0.097+0.113+0.125</f>
        <v>0.335</v>
      </c>
      <c r="E69" s="33"/>
      <c r="F69" s="79"/>
      <c r="G69" s="34">
        <v>34</v>
      </c>
      <c r="H69" s="34" t="s">
        <v>912</v>
      </c>
      <c r="I69" s="35">
        <f>0.044</f>
        <v>0.044</v>
      </c>
    </row>
    <row r="70" spans="1:9" ht="17.25" customHeight="1">
      <c r="A70" s="74"/>
      <c r="B70" s="34">
        <v>170</v>
      </c>
      <c r="C70" s="34">
        <v>305</v>
      </c>
      <c r="D70" s="35">
        <v>0.054</v>
      </c>
      <c r="E70" s="33"/>
      <c r="F70" s="79"/>
      <c r="G70" s="34">
        <v>45</v>
      </c>
      <c r="H70" s="34" t="s">
        <v>852</v>
      </c>
      <c r="I70" s="35">
        <v>0.0422</v>
      </c>
    </row>
    <row r="71" spans="1:9" ht="15" customHeight="1">
      <c r="A71" s="74"/>
      <c r="B71" s="34">
        <v>185</v>
      </c>
      <c r="C71" s="34">
        <v>405</v>
      </c>
      <c r="D71" s="35">
        <v>0.0868</v>
      </c>
      <c r="E71" s="33"/>
      <c r="F71" s="79"/>
      <c r="G71" s="42">
        <v>53</v>
      </c>
      <c r="H71" s="42">
        <v>2350</v>
      </c>
      <c r="I71" s="52">
        <v>0.039</v>
      </c>
    </row>
    <row r="72" spans="1:9" ht="15">
      <c r="A72" s="75"/>
      <c r="B72" s="34">
        <v>195</v>
      </c>
      <c r="C72" s="34">
        <v>520</v>
      </c>
      <c r="D72" s="35">
        <v>0.121</v>
      </c>
      <c r="E72" s="33"/>
      <c r="F72" s="79"/>
      <c r="G72" s="42">
        <v>56</v>
      </c>
      <c r="H72" s="42" t="s">
        <v>692</v>
      </c>
      <c r="I72" s="52">
        <v>0.088</v>
      </c>
    </row>
    <row r="73" spans="1:9" ht="15">
      <c r="A73" s="73" t="s">
        <v>510</v>
      </c>
      <c r="B73" s="34">
        <v>62</v>
      </c>
      <c r="C73" s="34">
        <v>1525</v>
      </c>
      <c r="D73" s="35">
        <v>0.035</v>
      </c>
      <c r="E73" s="33"/>
      <c r="F73" s="79"/>
      <c r="G73" s="42">
        <v>60</v>
      </c>
      <c r="H73" s="42">
        <v>500</v>
      </c>
      <c r="I73" s="52">
        <v>0.011</v>
      </c>
    </row>
    <row r="74" spans="1:9" ht="15">
      <c r="A74" s="75"/>
      <c r="B74" s="34" t="s">
        <v>542</v>
      </c>
      <c r="C74" s="32">
        <v>1200</v>
      </c>
      <c r="D74" s="35">
        <v>0.201</v>
      </c>
      <c r="E74" s="33"/>
      <c r="F74" s="79"/>
      <c r="G74" s="34">
        <v>64</v>
      </c>
      <c r="H74" s="34">
        <v>3300</v>
      </c>
      <c r="I74" s="35">
        <v>0.083</v>
      </c>
    </row>
    <row r="75" spans="1:9" ht="15">
      <c r="A75" s="78" t="s">
        <v>579</v>
      </c>
      <c r="B75" s="34">
        <v>18</v>
      </c>
      <c r="C75" s="34">
        <v>2900</v>
      </c>
      <c r="D75" s="48">
        <v>0.095</v>
      </c>
      <c r="E75" s="33"/>
      <c r="F75" s="79"/>
      <c r="G75" s="34">
        <v>65</v>
      </c>
      <c r="H75" s="34">
        <v>500</v>
      </c>
      <c r="I75" s="35">
        <v>0.0125</v>
      </c>
    </row>
    <row r="76" spans="1:9" ht="15">
      <c r="A76" s="79"/>
      <c r="B76" s="34">
        <v>50</v>
      </c>
      <c r="C76" s="34" t="s">
        <v>729</v>
      </c>
      <c r="D76" s="35">
        <f>0.857-0.0175-0.04-0.048-0.072-0.054</f>
        <v>0.6255</v>
      </c>
      <c r="E76" s="33"/>
      <c r="F76" s="80"/>
      <c r="G76" s="34">
        <v>70</v>
      </c>
      <c r="H76" s="34" t="s">
        <v>853</v>
      </c>
      <c r="I76" s="35">
        <v>0.026</v>
      </c>
    </row>
    <row r="77" spans="1:9" ht="15">
      <c r="A77" s="79"/>
      <c r="B77" s="34" t="s">
        <v>556</v>
      </c>
      <c r="C77" s="34">
        <v>30</v>
      </c>
      <c r="D77" s="48">
        <v>0.004</v>
      </c>
      <c r="E77" s="49"/>
      <c r="F77" s="50" t="s">
        <v>976</v>
      </c>
      <c r="G77" s="34">
        <v>28</v>
      </c>
      <c r="H77" s="34" t="s">
        <v>440</v>
      </c>
      <c r="I77" s="35">
        <v>0.032</v>
      </c>
    </row>
    <row r="78" spans="1:9" ht="15" customHeight="1">
      <c r="A78" s="80"/>
      <c r="B78" s="34" t="s">
        <v>593</v>
      </c>
      <c r="C78" s="44">
        <v>15</v>
      </c>
      <c r="D78" s="61">
        <v>0.003</v>
      </c>
      <c r="E78" s="49"/>
      <c r="F78" s="78" t="s">
        <v>506</v>
      </c>
      <c r="G78" s="34">
        <v>20</v>
      </c>
      <c r="H78" s="34" t="s">
        <v>538</v>
      </c>
      <c r="I78" s="35">
        <f>0.0025+0.0027</f>
        <v>0.0052</v>
      </c>
    </row>
    <row r="79" spans="1:9" ht="15">
      <c r="A79" s="73" t="s">
        <v>1</v>
      </c>
      <c r="B79" s="34">
        <v>16</v>
      </c>
      <c r="C79" s="34" t="s">
        <v>451</v>
      </c>
      <c r="D79" s="35">
        <v>0.86</v>
      </c>
      <c r="E79" s="49"/>
      <c r="F79" s="79"/>
      <c r="G79" s="34">
        <v>36</v>
      </c>
      <c r="H79" s="34">
        <v>1305</v>
      </c>
      <c r="I79" s="35">
        <v>0.011</v>
      </c>
    </row>
    <row r="80" spans="1:9" ht="15" customHeight="1">
      <c r="A80" s="74"/>
      <c r="B80" s="34">
        <v>40</v>
      </c>
      <c r="C80" s="34">
        <v>130</v>
      </c>
      <c r="D80" s="35">
        <v>0.0018</v>
      </c>
      <c r="E80" s="49"/>
      <c r="F80" s="80"/>
      <c r="G80" s="34">
        <v>40</v>
      </c>
      <c r="H80" s="34">
        <v>1140</v>
      </c>
      <c r="I80" s="35">
        <f>0.011+0.011</f>
        <v>0.022</v>
      </c>
    </row>
    <row r="81" spans="1:9" ht="15" customHeight="1">
      <c r="A81" s="74"/>
      <c r="B81" s="34">
        <v>45</v>
      </c>
      <c r="C81" s="34" t="s">
        <v>986</v>
      </c>
      <c r="D81" s="35">
        <v>0.0151</v>
      </c>
      <c r="E81" s="49"/>
      <c r="F81" s="78" t="s">
        <v>795</v>
      </c>
      <c r="G81" s="34">
        <v>160</v>
      </c>
      <c r="H81" s="34">
        <v>380</v>
      </c>
      <c r="I81" s="35">
        <v>0.067</v>
      </c>
    </row>
    <row r="82" spans="1:9" ht="15" customHeight="1">
      <c r="A82" s="74"/>
      <c r="B82" s="34">
        <v>50</v>
      </c>
      <c r="C82" s="34" t="s">
        <v>985</v>
      </c>
      <c r="D82" s="35">
        <f>0.0022+0.0149</f>
        <v>0.0171</v>
      </c>
      <c r="E82" s="49"/>
      <c r="F82" s="79"/>
      <c r="G82" s="34">
        <v>440</v>
      </c>
      <c r="H82" s="34">
        <v>160</v>
      </c>
      <c r="I82" s="35">
        <v>0.189</v>
      </c>
    </row>
    <row r="83" spans="1:9" ht="15">
      <c r="A83" s="74"/>
      <c r="B83" s="34">
        <v>60</v>
      </c>
      <c r="C83" s="34" t="s">
        <v>984</v>
      </c>
      <c r="D83" s="35">
        <f>0.0112+0.041</f>
        <v>0.0522</v>
      </c>
      <c r="E83" s="49"/>
      <c r="F83" s="79"/>
      <c r="G83" s="34">
        <v>460</v>
      </c>
      <c r="H83" s="34">
        <v>150</v>
      </c>
      <c r="I83" s="35">
        <v>0.195</v>
      </c>
    </row>
    <row r="84" spans="1:9" ht="15">
      <c r="A84" s="74"/>
      <c r="B84" s="32" t="s">
        <v>698</v>
      </c>
      <c r="C84" s="34" t="s">
        <v>699</v>
      </c>
      <c r="D84" s="35">
        <f>0.009+0.012</f>
        <v>0.020999999999999998</v>
      </c>
      <c r="E84" s="49"/>
      <c r="F84" s="79"/>
      <c r="G84" s="34">
        <v>480</v>
      </c>
      <c r="H84" s="34">
        <v>135</v>
      </c>
      <c r="I84" s="35">
        <v>0.192</v>
      </c>
    </row>
    <row r="85" spans="1:9" ht="15">
      <c r="A85" s="74"/>
      <c r="B85" s="32">
        <v>80</v>
      </c>
      <c r="C85" s="34">
        <v>165</v>
      </c>
      <c r="D85" s="35">
        <v>0.008</v>
      </c>
      <c r="E85" s="49"/>
      <c r="F85" s="80"/>
      <c r="G85" s="34">
        <v>500</v>
      </c>
      <c r="H85" s="34">
        <v>145</v>
      </c>
      <c r="I85" s="35">
        <v>0.217</v>
      </c>
    </row>
    <row r="86" spans="1:9" ht="15">
      <c r="A86" s="74"/>
      <c r="B86" s="32" t="s">
        <v>757</v>
      </c>
      <c r="C86" s="34">
        <v>45</v>
      </c>
      <c r="D86" s="35">
        <f>0.0032</f>
        <v>0.0032</v>
      </c>
      <c r="E86" s="49"/>
      <c r="F86" s="37" t="s">
        <v>977</v>
      </c>
      <c r="G86" s="34">
        <v>100</v>
      </c>
      <c r="H86" s="34">
        <v>490</v>
      </c>
      <c r="I86" s="35">
        <v>0.0304</v>
      </c>
    </row>
    <row r="87" spans="1:9" ht="15">
      <c r="A87" s="74"/>
      <c r="B87" s="32" t="s">
        <v>744</v>
      </c>
      <c r="C87" s="34">
        <v>100</v>
      </c>
      <c r="D87" s="35">
        <f>0.0083</f>
        <v>0.0083</v>
      </c>
      <c r="E87" s="33"/>
      <c r="F87" s="37" t="s">
        <v>1008</v>
      </c>
      <c r="G87" s="34">
        <v>30</v>
      </c>
      <c r="H87" s="34" t="s">
        <v>989</v>
      </c>
      <c r="I87" s="35">
        <f>0.0047+0.0053+0.0056</f>
        <v>0.0156</v>
      </c>
    </row>
    <row r="88" spans="1:9" ht="15" customHeight="1">
      <c r="A88" s="74"/>
      <c r="B88" s="32" t="s">
        <v>697</v>
      </c>
      <c r="C88" s="34" t="s">
        <v>836</v>
      </c>
      <c r="D88" s="35">
        <f>0.033+0.0504+0.0133+0.017-0.0083</f>
        <v>0.10540000000000001</v>
      </c>
      <c r="E88" s="33"/>
      <c r="F88" s="78" t="s">
        <v>500</v>
      </c>
      <c r="G88" s="34">
        <v>50</v>
      </c>
      <c r="H88" s="34" t="s">
        <v>732</v>
      </c>
      <c r="I88" s="35">
        <v>0.283</v>
      </c>
    </row>
    <row r="89" spans="1:9" ht="15" customHeight="1">
      <c r="A89" s="74"/>
      <c r="B89" s="32">
        <v>125</v>
      </c>
      <c r="C89" s="34">
        <v>130</v>
      </c>
      <c r="D89" s="35">
        <v>0.0155</v>
      </c>
      <c r="E89" s="33"/>
      <c r="F89" s="80"/>
      <c r="G89" s="34" t="s">
        <v>545</v>
      </c>
      <c r="H89" s="34" t="s">
        <v>635</v>
      </c>
      <c r="I89" s="35">
        <f>0.587-0.107-0.094-0.062</f>
        <v>0.324</v>
      </c>
    </row>
    <row r="90" spans="1:9" ht="15">
      <c r="A90" s="74"/>
      <c r="B90" s="34">
        <v>185</v>
      </c>
      <c r="C90" s="34">
        <v>835</v>
      </c>
      <c r="D90" s="35">
        <v>0.173</v>
      </c>
      <c r="E90" s="33"/>
      <c r="F90" s="37" t="s">
        <v>502</v>
      </c>
      <c r="G90" s="34">
        <v>40</v>
      </c>
      <c r="H90" s="34">
        <v>2230</v>
      </c>
      <c r="I90" s="35">
        <v>0.023</v>
      </c>
    </row>
    <row r="91" spans="1:9" ht="15">
      <c r="A91" s="74"/>
      <c r="B91" s="34">
        <v>200</v>
      </c>
      <c r="C91" s="34">
        <v>800</v>
      </c>
      <c r="D91" s="35">
        <v>0.2</v>
      </c>
      <c r="E91" s="33"/>
      <c r="F91" s="9" t="s">
        <v>536</v>
      </c>
      <c r="G91" s="32">
        <v>80</v>
      </c>
      <c r="H91" s="32">
        <v>1870</v>
      </c>
      <c r="I91" s="36">
        <v>0.074</v>
      </c>
    </row>
    <row r="92" spans="1:9" ht="15" customHeight="1">
      <c r="A92" s="74"/>
      <c r="B92" s="34">
        <v>205</v>
      </c>
      <c r="C92" s="34">
        <v>850</v>
      </c>
      <c r="D92" s="35">
        <v>0.226</v>
      </c>
      <c r="E92" s="33"/>
      <c r="F92" s="73" t="s">
        <v>465</v>
      </c>
      <c r="G92" s="32">
        <v>20</v>
      </c>
      <c r="H92" s="32">
        <v>1415</v>
      </c>
      <c r="I92" s="36">
        <v>0.0037</v>
      </c>
    </row>
    <row r="93" spans="1:9" ht="15">
      <c r="A93" s="74"/>
      <c r="B93" s="34">
        <v>280</v>
      </c>
      <c r="C93" s="34">
        <v>1045</v>
      </c>
      <c r="D93" s="35">
        <v>0.512</v>
      </c>
      <c r="E93" s="33"/>
      <c r="F93" s="74"/>
      <c r="G93" s="34">
        <v>80</v>
      </c>
      <c r="H93" s="34">
        <v>2260</v>
      </c>
      <c r="I93" s="35">
        <f>0.272-0.176</f>
        <v>0.09600000000000003</v>
      </c>
    </row>
    <row r="94" spans="1:9" ht="15">
      <c r="A94" s="74"/>
      <c r="B94" s="34">
        <v>320</v>
      </c>
      <c r="C94" s="34">
        <v>1380</v>
      </c>
      <c r="D94" s="35">
        <v>0.956</v>
      </c>
      <c r="E94" s="33"/>
      <c r="F94" s="75"/>
      <c r="G94" s="34">
        <v>140</v>
      </c>
      <c r="H94" s="34" t="s">
        <v>935</v>
      </c>
      <c r="I94" s="35">
        <f>0.179+0.191</f>
        <v>0.37</v>
      </c>
    </row>
    <row r="95" spans="1:9" ht="28.5">
      <c r="A95" s="75"/>
      <c r="B95" s="32" t="s">
        <v>454</v>
      </c>
      <c r="C95" s="34">
        <v>75</v>
      </c>
      <c r="D95" s="35">
        <f>0.394+0.055</f>
        <v>0.449</v>
      </c>
      <c r="E95" s="33"/>
      <c r="F95" s="9" t="s">
        <v>614</v>
      </c>
      <c r="G95" s="32">
        <v>35</v>
      </c>
      <c r="H95" s="32">
        <v>2715</v>
      </c>
      <c r="I95" s="36">
        <v>0.022</v>
      </c>
    </row>
    <row r="96" spans="1:9" ht="28.5">
      <c r="A96" s="73" t="s">
        <v>48</v>
      </c>
      <c r="B96" s="34">
        <v>12</v>
      </c>
      <c r="C96" s="34" t="s">
        <v>821</v>
      </c>
      <c r="D96" s="35">
        <f>0.01+0.183-0.004-0.009-0.01-0.0055-0.0027-0.0057-0.007-0.006-0.014-0.0085-0.0045-0.0057-0.0202-0.015-0.0023</f>
        <v>0.07289999999999994</v>
      </c>
      <c r="E96" s="33"/>
      <c r="F96" s="31" t="s">
        <v>539</v>
      </c>
      <c r="G96" s="32">
        <v>150</v>
      </c>
      <c r="H96" s="32">
        <v>760</v>
      </c>
      <c r="I96" s="36">
        <v>0.115</v>
      </c>
    </row>
    <row r="97" spans="1:9" ht="28.5">
      <c r="A97" s="74"/>
      <c r="B97" s="34">
        <v>16</v>
      </c>
      <c r="C97" s="34">
        <v>3000</v>
      </c>
      <c r="D97" s="35">
        <f>0.06-0.0346-0.0035-0.0057-0.004</f>
        <v>0.012199999999999999</v>
      </c>
      <c r="E97" s="33"/>
      <c r="F97" s="9" t="s">
        <v>636</v>
      </c>
      <c r="G97" s="32">
        <v>62</v>
      </c>
      <c r="H97" s="34">
        <v>1500</v>
      </c>
      <c r="I97" s="36">
        <v>0.136</v>
      </c>
    </row>
    <row r="98" spans="1:9" ht="15">
      <c r="A98" s="74"/>
      <c r="B98" s="32">
        <v>50</v>
      </c>
      <c r="C98" s="34" t="s">
        <v>857</v>
      </c>
      <c r="D98" s="35">
        <f>0.704-0.05-0.006-0.0166</f>
        <v>0.6314</v>
      </c>
      <c r="E98" s="33"/>
      <c r="F98" s="31" t="s">
        <v>813</v>
      </c>
      <c r="G98" s="34">
        <v>21</v>
      </c>
      <c r="H98" s="34">
        <v>3900</v>
      </c>
      <c r="I98" s="35">
        <v>1.005</v>
      </c>
    </row>
    <row r="99" spans="1:9" ht="15">
      <c r="A99" s="75"/>
      <c r="B99" s="32">
        <v>55</v>
      </c>
      <c r="C99" s="34" t="s">
        <v>650</v>
      </c>
      <c r="D99" s="35">
        <v>0.135</v>
      </c>
      <c r="E99" s="33"/>
      <c r="F99" s="9" t="s">
        <v>516</v>
      </c>
      <c r="G99" s="32" t="s">
        <v>728</v>
      </c>
      <c r="H99" s="32" t="s">
        <v>517</v>
      </c>
      <c r="I99" s="35">
        <v>0.045</v>
      </c>
    </row>
    <row r="100" spans="1:9" ht="15">
      <c r="A100" s="73" t="s">
        <v>41</v>
      </c>
      <c r="B100" s="34">
        <v>25</v>
      </c>
      <c r="C100" s="34" t="s">
        <v>533</v>
      </c>
      <c r="D100" s="35">
        <f>0.4818-0.08-0.011-0.045-0.0232-0.0231</f>
        <v>0.2995</v>
      </c>
      <c r="E100" s="33"/>
      <c r="F100" s="9" t="s">
        <v>576</v>
      </c>
      <c r="G100" s="32" t="s">
        <v>546</v>
      </c>
      <c r="H100" s="32">
        <v>1390</v>
      </c>
      <c r="I100" s="36">
        <v>0.342</v>
      </c>
    </row>
    <row r="101" spans="1:9" ht="15" customHeight="1">
      <c r="A101" s="74"/>
      <c r="B101" s="34">
        <v>50</v>
      </c>
      <c r="C101" s="34">
        <v>1930</v>
      </c>
      <c r="D101" s="35">
        <v>0.0301</v>
      </c>
      <c r="E101" s="33"/>
      <c r="F101" s="82" t="s">
        <v>562</v>
      </c>
      <c r="G101" s="34" t="s">
        <v>453</v>
      </c>
      <c r="H101" s="34">
        <v>340</v>
      </c>
      <c r="I101" s="35">
        <v>0.045</v>
      </c>
    </row>
    <row r="102" spans="1:9" ht="15" customHeight="1">
      <c r="A102" s="74"/>
      <c r="B102" s="34">
        <v>60</v>
      </c>
      <c r="C102" s="34" t="s">
        <v>753</v>
      </c>
      <c r="D102" s="35">
        <f>0.66-0.046-0.065-0.063-0.033-0.045-0.032</f>
        <v>0.376</v>
      </c>
      <c r="E102" s="33"/>
      <c r="F102" s="82"/>
      <c r="G102" s="34" t="s">
        <v>556</v>
      </c>
      <c r="H102" s="34">
        <v>290</v>
      </c>
      <c r="I102" s="35">
        <v>0.052</v>
      </c>
    </row>
    <row r="103" spans="1:9" ht="15" customHeight="1">
      <c r="A103" s="74"/>
      <c r="B103" s="34">
        <v>85</v>
      </c>
      <c r="C103" s="34">
        <v>1280</v>
      </c>
      <c r="D103" s="35">
        <v>0.0565</v>
      </c>
      <c r="E103" s="33"/>
      <c r="F103" s="82"/>
      <c r="G103" s="34" t="s">
        <v>546</v>
      </c>
      <c r="H103" s="34">
        <v>1350</v>
      </c>
      <c r="I103" s="35">
        <v>0.353</v>
      </c>
    </row>
    <row r="104" spans="1:9" ht="15">
      <c r="A104" s="74"/>
      <c r="B104" s="34" t="s">
        <v>697</v>
      </c>
      <c r="C104" s="34">
        <v>95</v>
      </c>
      <c r="D104" s="35">
        <v>0.0082</v>
      </c>
      <c r="E104" s="33"/>
      <c r="F104" s="73" t="s">
        <v>63</v>
      </c>
      <c r="G104" s="34">
        <v>45</v>
      </c>
      <c r="H104" s="34">
        <v>3790</v>
      </c>
      <c r="I104" s="35">
        <v>0.05</v>
      </c>
    </row>
    <row r="105" spans="1:9" ht="15">
      <c r="A105" s="75"/>
      <c r="B105" s="32" t="s">
        <v>535</v>
      </c>
      <c r="C105" s="32">
        <v>100</v>
      </c>
      <c r="D105" s="36">
        <v>0.03</v>
      </c>
      <c r="E105" s="33"/>
      <c r="F105" s="75"/>
      <c r="G105" s="34">
        <v>150</v>
      </c>
      <c r="H105" s="34">
        <v>1440</v>
      </c>
      <c r="I105" s="35">
        <v>0.197</v>
      </c>
    </row>
    <row r="106" spans="1:9" ht="15">
      <c r="A106" s="57" t="s">
        <v>948</v>
      </c>
      <c r="B106" s="32">
        <v>50</v>
      </c>
      <c r="C106" s="32">
        <v>320</v>
      </c>
      <c r="D106" s="36">
        <v>0.0049</v>
      </c>
      <c r="E106" s="33"/>
      <c r="F106" s="57" t="s">
        <v>779</v>
      </c>
      <c r="G106" s="34">
        <v>48</v>
      </c>
      <c r="H106" s="34" t="s">
        <v>780</v>
      </c>
      <c r="I106" s="35">
        <v>0.097</v>
      </c>
    </row>
    <row r="107" spans="1:9" ht="15">
      <c r="A107" s="9" t="s">
        <v>505</v>
      </c>
      <c r="B107" s="34">
        <v>150</v>
      </c>
      <c r="C107" s="34">
        <v>2150</v>
      </c>
      <c r="D107" s="35">
        <v>0.3</v>
      </c>
      <c r="E107" s="33"/>
      <c r="F107" s="9" t="s">
        <v>60</v>
      </c>
      <c r="G107" s="34" t="s">
        <v>546</v>
      </c>
      <c r="H107" s="34">
        <v>1370</v>
      </c>
      <c r="I107" s="35">
        <v>0.35</v>
      </c>
    </row>
    <row r="108" spans="1:9" ht="15">
      <c r="A108" s="9" t="s">
        <v>537</v>
      </c>
      <c r="B108" s="34">
        <v>100</v>
      </c>
      <c r="C108" s="34">
        <v>1950</v>
      </c>
      <c r="D108" s="35">
        <v>0.129</v>
      </c>
      <c r="E108" s="33"/>
      <c r="F108" s="31" t="s">
        <v>894</v>
      </c>
      <c r="G108" s="34" t="s">
        <v>581</v>
      </c>
      <c r="H108" s="34">
        <v>1750</v>
      </c>
      <c r="I108" s="35">
        <v>0.647</v>
      </c>
    </row>
    <row r="109" spans="1:9" ht="15">
      <c r="A109" s="73" t="s">
        <v>474</v>
      </c>
      <c r="B109" s="32">
        <v>35</v>
      </c>
      <c r="C109" s="32">
        <v>3000</v>
      </c>
      <c r="D109" s="36">
        <f>0.901-0.0115</f>
        <v>0.8895000000000001</v>
      </c>
      <c r="E109" s="33"/>
      <c r="F109" s="73" t="s">
        <v>4</v>
      </c>
      <c r="G109" s="34">
        <v>40</v>
      </c>
      <c r="H109" s="34">
        <v>3790</v>
      </c>
      <c r="I109" s="36">
        <v>0.038</v>
      </c>
    </row>
    <row r="110" spans="1:9" ht="15">
      <c r="A110" s="74"/>
      <c r="B110" s="32">
        <v>40</v>
      </c>
      <c r="C110" s="32">
        <v>3870</v>
      </c>
      <c r="D110" s="36">
        <v>0.038</v>
      </c>
      <c r="E110" s="33"/>
      <c r="F110" s="74"/>
      <c r="G110" s="32">
        <v>100</v>
      </c>
      <c r="H110" s="34">
        <v>1490</v>
      </c>
      <c r="I110" s="35">
        <v>0.092</v>
      </c>
    </row>
    <row r="111" spans="1:9" ht="15" customHeight="1">
      <c r="A111" s="74"/>
      <c r="B111" s="32">
        <v>45</v>
      </c>
      <c r="C111" s="32">
        <v>4730</v>
      </c>
      <c r="D111" s="36">
        <v>0.059</v>
      </c>
      <c r="E111" s="33"/>
      <c r="F111" s="75"/>
      <c r="G111" s="34" t="s">
        <v>17</v>
      </c>
      <c r="H111" s="34">
        <v>370</v>
      </c>
      <c r="I111" s="36">
        <v>0.104</v>
      </c>
    </row>
    <row r="112" spans="1:9" ht="15">
      <c r="A112" s="74"/>
      <c r="B112" s="32">
        <v>48</v>
      </c>
      <c r="C112" s="32">
        <v>2485</v>
      </c>
      <c r="D112" s="36">
        <v>0.034</v>
      </c>
      <c r="E112" s="33"/>
      <c r="F112" s="31" t="s">
        <v>57</v>
      </c>
      <c r="G112" s="34" t="s">
        <v>719</v>
      </c>
      <c r="H112" s="34">
        <v>300</v>
      </c>
      <c r="I112" s="36">
        <v>0.3</v>
      </c>
    </row>
    <row r="113" spans="1:9" ht="15" customHeight="1">
      <c r="A113" s="74"/>
      <c r="B113" s="32">
        <v>50</v>
      </c>
      <c r="C113" s="32">
        <v>4020</v>
      </c>
      <c r="D113" s="36">
        <v>0.062</v>
      </c>
      <c r="E113" s="33"/>
      <c r="F113" s="73" t="s">
        <v>7</v>
      </c>
      <c r="G113" s="34">
        <v>50</v>
      </c>
      <c r="H113" s="34" t="s">
        <v>926</v>
      </c>
      <c r="I113" s="35">
        <f>0.321+0.13+0.188+0.288+0.153+0.13-0.016-0.0223-0.027-0.005-0.128</f>
        <v>1.0117000000000003</v>
      </c>
    </row>
    <row r="114" spans="1:9" ht="15" customHeight="1">
      <c r="A114" s="74"/>
      <c r="B114" s="34">
        <v>60</v>
      </c>
      <c r="C114" s="34" t="s">
        <v>519</v>
      </c>
      <c r="D114" s="35">
        <v>0.252</v>
      </c>
      <c r="E114" s="33"/>
      <c r="F114" s="74"/>
      <c r="G114" s="34">
        <v>70</v>
      </c>
      <c r="H114" s="34" t="s">
        <v>834</v>
      </c>
      <c r="I114" s="35">
        <f>0.154-0.043</f>
        <v>0.111</v>
      </c>
    </row>
    <row r="115" spans="1:9" ht="15">
      <c r="A115" s="75"/>
      <c r="B115" s="34">
        <v>70</v>
      </c>
      <c r="C115" s="34" t="s">
        <v>725</v>
      </c>
      <c r="D115" s="35">
        <f>0.118+0.122+0.123</f>
        <v>0.363</v>
      </c>
      <c r="E115" s="33"/>
      <c r="F115" s="74"/>
      <c r="G115" s="34">
        <v>280</v>
      </c>
      <c r="H115" s="34">
        <v>5340</v>
      </c>
      <c r="I115" s="35">
        <v>2.616</v>
      </c>
    </row>
    <row r="116" spans="1:9" ht="15" customHeight="1">
      <c r="A116" s="73" t="s">
        <v>49</v>
      </c>
      <c r="B116" s="34">
        <v>25</v>
      </c>
      <c r="C116" s="34">
        <v>2975</v>
      </c>
      <c r="D116" s="35">
        <f>0.012+1.6</f>
        <v>1.612</v>
      </c>
      <c r="E116" s="33"/>
      <c r="F116" s="74"/>
      <c r="G116" s="34" t="s">
        <v>460</v>
      </c>
      <c r="H116" s="34">
        <v>40</v>
      </c>
      <c r="I116" s="36">
        <v>0.038</v>
      </c>
    </row>
    <row r="117" spans="1:9" ht="15">
      <c r="A117" s="74"/>
      <c r="B117" s="34">
        <v>28</v>
      </c>
      <c r="C117" s="34" t="s">
        <v>440</v>
      </c>
      <c r="D117" s="35">
        <v>0.85</v>
      </c>
      <c r="E117" s="33"/>
      <c r="F117" s="75"/>
      <c r="G117" s="34" t="s">
        <v>554</v>
      </c>
      <c r="H117" s="34">
        <v>300</v>
      </c>
      <c r="I117" s="35">
        <v>0.478</v>
      </c>
    </row>
    <row r="118" spans="1:9" ht="15" customHeight="1">
      <c r="A118" s="74"/>
      <c r="B118" s="32">
        <v>30</v>
      </c>
      <c r="C118" s="32" t="s">
        <v>686</v>
      </c>
      <c r="D118" s="36">
        <f>0.0125+0.0125</f>
        <v>0.025</v>
      </c>
      <c r="E118" s="33"/>
      <c r="F118" s="73" t="s">
        <v>455</v>
      </c>
      <c r="G118" s="32" t="s">
        <v>603</v>
      </c>
      <c r="H118" s="32">
        <v>40</v>
      </c>
      <c r="I118" s="36">
        <v>0.001</v>
      </c>
    </row>
    <row r="119" spans="1:9" ht="15" customHeight="1">
      <c r="A119" s="74"/>
      <c r="B119" s="32">
        <v>40</v>
      </c>
      <c r="C119" s="32" t="s">
        <v>575</v>
      </c>
      <c r="D119" s="36">
        <f>1.57+0.1+0.034+0.033+0.026+0.034+0.068-0.055+0.031</f>
        <v>1.8410000000000002</v>
      </c>
      <c r="E119" s="33"/>
      <c r="F119" s="75"/>
      <c r="G119" s="34">
        <v>80</v>
      </c>
      <c r="H119" s="34">
        <v>2220</v>
      </c>
      <c r="I119" s="35">
        <f>0.087-0.02</f>
        <v>0.06699999999999999</v>
      </c>
    </row>
    <row r="120" spans="1:9" ht="15" customHeight="1">
      <c r="A120" s="74"/>
      <c r="B120" s="32">
        <v>50</v>
      </c>
      <c r="C120" s="34" t="s">
        <v>526</v>
      </c>
      <c r="D120" s="35">
        <f>0.331+0.794+1.257+0.618+0.853+0.047+0.081+0.092+0.042+0.04-0.298+0.02</f>
        <v>3.8769999999999993</v>
      </c>
      <c r="E120" s="33"/>
      <c r="F120" s="73" t="s">
        <v>717</v>
      </c>
      <c r="G120" s="38">
        <v>215</v>
      </c>
      <c r="H120" s="34">
        <v>45</v>
      </c>
      <c r="I120" s="35">
        <v>0.014</v>
      </c>
    </row>
    <row r="121" spans="1:9" ht="15" customHeight="1">
      <c r="A121" s="74"/>
      <c r="B121" s="32">
        <v>56</v>
      </c>
      <c r="C121" s="32" t="s">
        <v>705</v>
      </c>
      <c r="D121" s="35">
        <f>0.206+0.064+0.059</f>
        <v>0.329</v>
      </c>
      <c r="E121" s="33"/>
      <c r="F121" s="74"/>
      <c r="G121" s="38">
        <v>255</v>
      </c>
      <c r="H121" s="34">
        <v>30</v>
      </c>
      <c r="I121" s="35">
        <v>0.016</v>
      </c>
    </row>
    <row r="122" spans="1:9" ht="15">
      <c r="A122" s="74"/>
      <c r="B122" s="32">
        <v>60</v>
      </c>
      <c r="C122" s="32" t="s">
        <v>557</v>
      </c>
      <c r="D122" s="36">
        <v>1.93</v>
      </c>
      <c r="E122" s="33"/>
      <c r="F122" s="74"/>
      <c r="G122" s="38">
        <v>260</v>
      </c>
      <c r="H122" s="34">
        <v>370</v>
      </c>
      <c r="I122" s="35">
        <v>0.163</v>
      </c>
    </row>
    <row r="123" spans="1:9" ht="15">
      <c r="A123" s="74"/>
      <c r="B123" s="34">
        <v>80</v>
      </c>
      <c r="C123" s="34" t="s">
        <v>616</v>
      </c>
      <c r="D123" s="35">
        <f>0.02+0.076</f>
        <v>0.096</v>
      </c>
      <c r="E123" s="33"/>
      <c r="F123" s="74"/>
      <c r="G123" s="38">
        <v>280</v>
      </c>
      <c r="H123" s="34">
        <v>155</v>
      </c>
      <c r="I123" s="35">
        <v>0.124</v>
      </c>
    </row>
    <row r="124" spans="1:9" ht="15">
      <c r="A124" s="74"/>
      <c r="B124" s="34" t="s">
        <v>471</v>
      </c>
      <c r="C124" s="34">
        <v>85</v>
      </c>
      <c r="D124" s="35">
        <f>0.004*2</f>
        <v>0.008</v>
      </c>
      <c r="E124" s="33"/>
      <c r="F124" s="74"/>
      <c r="G124" s="38">
        <v>290</v>
      </c>
      <c r="H124" s="34">
        <v>115</v>
      </c>
      <c r="I124" s="35">
        <v>0.08</v>
      </c>
    </row>
    <row r="125" spans="1:9" ht="15">
      <c r="A125" s="74"/>
      <c r="B125" s="32">
        <v>110</v>
      </c>
      <c r="C125" s="34">
        <v>1735</v>
      </c>
      <c r="D125" s="35">
        <f>0.13+0.117</f>
        <v>0.247</v>
      </c>
      <c r="E125" s="33"/>
      <c r="F125" s="74"/>
      <c r="G125" s="38">
        <v>355</v>
      </c>
      <c r="H125" s="34">
        <v>10</v>
      </c>
      <c r="I125" s="35">
        <v>0.013</v>
      </c>
    </row>
    <row r="126" spans="1:9" ht="15">
      <c r="A126" s="74"/>
      <c r="B126" s="32" t="s">
        <v>453</v>
      </c>
      <c r="C126" s="34">
        <v>35</v>
      </c>
      <c r="D126" s="35">
        <f>0.003</f>
        <v>0.003</v>
      </c>
      <c r="E126" s="33"/>
      <c r="F126" s="75"/>
      <c r="G126" s="38">
        <v>440</v>
      </c>
      <c r="H126" s="34">
        <v>790</v>
      </c>
      <c r="I126" s="35">
        <v>0.97</v>
      </c>
    </row>
    <row r="127" spans="1:9" ht="15">
      <c r="A127" s="74"/>
      <c r="B127" s="32" t="s">
        <v>601</v>
      </c>
      <c r="C127" s="34">
        <v>60</v>
      </c>
      <c r="D127" s="35">
        <v>0.007</v>
      </c>
      <c r="E127" s="33"/>
      <c r="F127" s="37" t="s">
        <v>479</v>
      </c>
      <c r="G127" s="34">
        <v>225</v>
      </c>
      <c r="H127" s="34">
        <v>400</v>
      </c>
      <c r="I127" s="35">
        <v>0.12</v>
      </c>
    </row>
    <row r="128" spans="1:9" ht="30">
      <c r="A128" s="74"/>
      <c r="B128" s="32">
        <v>150</v>
      </c>
      <c r="C128" s="51" t="s">
        <v>837</v>
      </c>
      <c r="D128" s="35">
        <f>0.418+0.376+0.56+0.465-0.0161</f>
        <v>1.8029000000000002</v>
      </c>
      <c r="E128" s="33"/>
      <c r="F128" s="73" t="s">
        <v>812</v>
      </c>
      <c r="G128" s="34">
        <v>40</v>
      </c>
      <c r="H128" s="34">
        <v>3320</v>
      </c>
      <c r="I128" s="35">
        <f>0.063-0.0315</f>
        <v>0.0315</v>
      </c>
    </row>
    <row r="129" spans="1:9" ht="15">
      <c r="A129" s="74"/>
      <c r="B129" s="32" t="s">
        <v>556</v>
      </c>
      <c r="C129" s="34" t="s">
        <v>897</v>
      </c>
      <c r="D129" s="35">
        <f>0.048+0.156</f>
        <v>0.20400000000000001</v>
      </c>
      <c r="E129" s="33"/>
      <c r="F129" s="75"/>
      <c r="G129" s="32">
        <v>100</v>
      </c>
      <c r="H129" s="34">
        <v>890</v>
      </c>
      <c r="I129" s="35">
        <v>0.054</v>
      </c>
    </row>
    <row r="130" spans="1:9" ht="15" customHeight="1">
      <c r="A130" s="74"/>
      <c r="B130" s="34" t="s">
        <v>499</v>
      </c>
      <c r="C130" s="34">
        <v>35</v>
      </c>
      <c r="D130" s="35">
        <f>(0.006*19)</f>
        <v>0.114</v>
      </c>
      <c r="E130" s="33"/>
      <c r="F130" s="73" t="s">
        <v>458</v>
      </c>
      <c r="G130" s="34">
        <v>25</v>
      </c>
      <c r="H130" s="34" t="s">
        <v>776</v>
      </c>
      <c r="I130" s="35">
        <f>0.3-0.051-0.018-0.016-0.01-0.0077-0.0041-0.0373-0.063-0.0545</f>
        <v>0.03840000000000001</v>
      </c>
    </row>
    <row r="131" spans="1:9" ht="15">
      <c r="A131" s="74"/>
      <c r="B131" s="34" t="s">
        <v>542</v>
      </c>
      <c r="C131" s="34" t="s">
        <v>838</v>
      </c>
      <c r="D131" s="35">
        <f>0.011+0.011+(0.006*7)</f>
        <v>0.064</v>
      </c>
      <c r="E131" s="33"/>
      <c r="F131" s="74"/>
      <c r="G131" s="42">
        <v>50</v>
      </c>
      <c r="H131" s="42" t="s">
        <v>889</v>
      </c>
      <c r="I131" s="52">
        <v>0.512</v>
      </c>
    </row>
    <row r="132" spans="1:9" ht="15" customHeight="1">
      <c r="A132" s="74"/>
      <c r="B132" s="34">
        <v>180</v>
      </c>
      <c r="C132" s="34">
        <v>840</v>
      </c>
      <c r="D132" s="35">
        <v>0.174</v>
      </c>
      <c r="E132" s="33"/>
      <c r="F132" s="74"/>
      <c r="G132" s="42">
        <v>80</v>
      </c>
      <c r="H132" s="42">
        <v>3000</v>
      </c>
      <c r="I132" s="52">
        <v>1.5</v>
      </c>
    </row>
    <row r="133" spans="1:9" ht="15" customHeight="1">
      <c r="A133" s="74"/>
      <c r="B133" s="34" t="s">
        <v>748</v>
      </c>
      <c r="C133" s="34">
        <v>100</v>
      </c>
      <c r="D133" s="35">
        <v>0.025</v>
      </c>
      <c r="E133" s="33"/>
      <c r="F133" s="74"/>
      <c r="G133" s="34">
        <v>120</v>
      </c>
      <c r="H133" s="34" t="s">
        <v>890</v>
      </c>
      <c r="I133" s="35">
        <v>2.235</v>
      </c>
    </row>
    <row r="134" spans="1:9" ht="15">
      <c r="A134" s="74"/>
      <c r="B134" s="34" t="s">
        <v>749</v>
      </c>
      <c r="C134" s="34">
        <v>160</v>
      </c>
      <c r="D134" s="35">
        <v>0.042</v>
      </c>
      <c r="E134" s="33"/>
      <c r="F134" s="74"/>
      <c r="G134" s="34" t="s">
        <v>914</v>
      </c>
      <c r="H134" s="34" t="s">
        <v>913</v>
      </c>
      <c r="I134" s="35">
        <f>0.192+0.27</f>
        <v>0.462</v>
      </c>
    </row>
    <row r="135" spans="1:9" ht="15" customHeight="1">
      <c r="A135" s="74"/>
      <c r="B135" s="34" t="s">
        <v>831</v>
      </c>
      <c r="C135" s="34">
        <v>160</v>
      </c>
      <c r="D135" s="36">
        <v>0.047</v>
      </c>
      <c r="E135" s="33"/>
      <c r="F135" s="74"/>
      <c r="G135" s="34" t="s">
        <v>915</v>
      </c>
      <c r="H135" s="34" t="s">
        <v>916</v>
      </c>
      <c r="I135" s="35">
        <f>0.3+0.338</f>
        <v>0.638</v>
      </c>
    </row>
    <row r="136" spans="1:9" ht="15">
      <c r="A136" s="74"/>
      <c r="B136" s="34" t="s">
        <v>750</v>
      </c>
      <c r="C136" s="34">
        <v>100</v>
      </c>
      <c r="D136" s="35">
        <v>0.026</v>
      </c>
      <c r="E136" s="33"/>
      <c r="F136" s="74"/>
      <c r="G136" s="34" t="s">
        <v>624</v>
      </c>
      <c r="H136" s="34">
        <v>965</v>
      </c>
      <c r="I136" s="35">
        <v>0.216</v>
      </c>
    </row>
    <row r="137" spans="1:9" ht="15">
      <c r="A137" s="74"/>
      <c r="B137" s="34">
        <v>220</v>
      </c>
      <c r="C137" s="34">
        <v>100</v>
      </c>
      <c r="D137" s="35">
        <v>0.031</v>
      </c>
      <c r="E137" s="33"/>
      <c r="F137" s="74"/>
      <c r="G137" s="34">
        <v>220</v>
      </c>
      <c r="H137" s="34">
        <v>710</v>
      </c>
      <c r="I137" s="35">
        <v>0.214</v>
      </c>
    </row>
    <row r="138" spans="1:9" ht="15">
      <c r="A138" s="74"/>
      <c r="B138" s="32" t="s">
        <v>751</v>
      </c>
      <c r="C138" s="32">
        <v>135</v>
      </c>
      <c r="D138" s="36">
        <v>0.057</v>
      </c>
      <c r="E138" s="33"/>
      <c r="F138" s="74"/>
      <c r="G138" s="34">
        <v>225</v>
      </c>
      <c r="H138" s="34" t="s">
        <v>975</v>
      </c>
      <c r="I138" s="35">
        <f>0.217+0.229+0.329</f>
        <v>0.775</v>
      </c>
    </row>
    <row r="139" spans="1:9" ht="15">
      <c r="A139" s="75"/>
      <c r="B139" s="32" t="s">
        <v>752</v>
      </c>
      <c r="C139" s="32">
        <v>100</v>
      </c>
      <c r="D139" s="36">
        <v>0.043</v>
      </c>
      <c r="E139" s="33"/>
      <c r="F139" s="74"/>
      <c r="G139" s="34" t="s">
        <v>943</v>
      </c>
      <c r="H139" s="34">
        <v>935</v>
      </c>
      <c r="I139" s="35">
        <v>0.32</v>
      </c>
    </row>
    <row r="140" spans="1:9" ht="30">
      <c r="A140" s="9" t="s">
        <v>731</v>
      </c>
      <c r="B140" s="34" t="s">
        <v>730</v>
      </c>
      <c r="C140" s="34" t="s">
        <v>910</v>
      </c>
      <c r="D140" s="35">
        <f>0.242+0.473</f>
        <v>0.715</v>
      </c>
      <c r="E140" s="33"/>
      <c r="F140" s="74"/>
      <c r="G140" s="34" t="s">
        <v>581</v>
      </c>
      <c r="H140" s="34">
        <v>310</v>
      </c>
      <c r="I140" s="35">
        <v>0.11</v>
      </c>
    </row>
    <row r="141" spans="1:9" ht="15">
      <c r="A141" s="73" t="s">
        <v>39</v>
      </c>
      <c r="B141" s="34">
        <v>35</v>
      </c>
      <c r="C141" s="34" t="s">
        <v>925</v>
      </c>
      <c r="D141" s="35">
        <f>0.297-0.069-0.004-0.0928-0.0359</f>
        <v>0.09529999999999998</v>
      </c>
      <c r="E141" s="33"/>
      <c r="F141" s="74"/>
      <c r="G141" s="34" t="s">
        <v>700</v>
      </c>
      <c r="H141" s="34">
        <v>240</v>
      </c>
      <c r="I141" s="35">
        <v>0.114</v>
      </c>
    </row>
    <row r="142" spans="1:9" ht="15">
      <c r="A142" s="74"/>
      <c r="B142" s="34">
        <v>40</v>
      </c>
      <c r="C142" s="34" t="s">
        <v>574</v>
      </c>
      <c r="D142" s="35">
        <f>1.48+0.029-0.114-0.006</f>
        <v>1.3889999999999998</v>
      </c>
      <c r="E142" s="33"/>
      <c r="F142" s="74"/>
      <c r="G142" s="34">
        <v>280</v>
      </c>
      <c r="H142" s="34">
        <v>215</v>
      </c>
      <c r="I142" s="35">
        <v>0.103</v>
      </c>
    </row>
    <row r="143" spans="1:9" ht="15">
      <c r="A143" s="74"/>
      <c r="B143" s="42">
        <v>50</v>
      </c>
      <c r="C143" s="34" t="s">
        <v>822</v>
      </c>
      <c r="D143" s="35">
        <f>0.158-0.031-0.048</f>
        <v>0.079</v>
      </c>
      <c r="E143" s="33"/>
      <c r="F143" s="74"/>
      <c r="G143" s="34" t="s">
        <v>859</v>
      </c>
      <c r="H143" s="34">
        <v>240</v>
      </c>
      <c r="I143" s="35">
        <v>0.122</v>
      </c>
    </row>
    <row r="144" spans="1:9" ht="15">
      <c r="A144" s="74"/>
      <c r="B144" s="34">
        <v>115</v>
      </c>
      <c r="C144" s="34">
        <v>1040</v>
      </c>
      <c r="D144" s="35">
        <v>0.084</v>
      </c>
      <c r="E144" s="33"/>
      <c r="F144" s="74"/>
      <c r="G144" s="34" t="s">
        <v>960</v>
      </c>
      <c r="H144" s="34">
        <v>140</v>
      </c>
      <c r="I144" s="35">
        <f>0.157+0.16</f>
        <v>0.317</v>
      </c>
    </row>
    <row r="145" spans="1:9" ht="15">
      <c r="A145" s="74"/>
      <c r="B145" s="32" t="s">
        <v>936</v>
      </c>
      <c r="C145" s="32" t="s">
        <v>937</v>
      </c>
      <c r="D145" s="36">
        <f>0.012*2</f>
        <v>0.024</v>
      </c>
      <c r="E145" s="33"/>
      <c r="F145" s="74"/>
      <c r="G145" s="34" t="s">
        <v>961</v>
      </c>
      <c r="H145" s="34">
        <v>115</v>
      </c>
      <c r="I145" s="35">
        <v>0.136</v>
      </c>
    </row>
    <row r="146" spans="1:9" ht="15">
      <c r="A146" s="75"/>
      <c r="B146" s="34" t="s">
        <v>457</v>
      </c>
      <c r="C146" s="34">
        <v>25</v>
      </c>
      <c r="D146" s="35">
        <v>0.026</v>
      </c>
      <c r="E146" s="33"/>
      <c r="F146" s="74"/>
      <c r="G146" s="34" t="s">
        <v>962</v>
      </c>
      <c r="H146" s="34">
        <v>115</v>
      </c>
      <c r="I146" s="35">
        <v>0.133</v>
      </c>
    </row>
    <row r="147" spans="1:9" ht="15">
      <c r="A147" s="31" t="s">
        <v>523</v>
      </c>
      <c r="B147" s="38">
        <v>230</v>
      </c>
      <c r="C147" s="34" t="s">
        <v>839</v>
      </c>
      <c r="D147" s="35">
        <f>0.016+0.355+0.167</f>
        <v>0.538</v>
      </c>
      <c r="E147" s="33"/>
      <c r="F147" s="75"/>
      <c r="G147" s="34" t="s">
        <v>959</v>
      </c>
      <c r="H147" s="34">
        <v>120</v>
      </c>
      <c r="I147" s="35">
        <f>0.194+0.21</f>
        <v>0.404</v>
      </c>
    </row>
    <row r="148" spans="1:9" ht="15">
      <c r="A148" s="73" t="s">
        <v>9</v>
      </c>
      <c r="B148" s="38">
        <v>40</v>
      </c>
      <c r="C148" s="34">
        <v>2600</v>
      </c>
      <c r="D148" s="35">
        <v>0.0255</v>
      </c>
      <c r="E148" s="33"/>
      <c r="F148" s="73" t="s">
        <v>8</v>
      </c>
      <c r="G148" s="34">
        <v>18</v>
      </c>
      <c r="H148" s="34" t="s">
        <v>440</v>
      </c>
      <c r="I148" s="36">
        <v>0.3</v>
      </c>
    </row>
    <row r="149" spans="1:9" ht="15">
      <c r="A149" s="74"/>
      <c r="B149" s="34">
        <v>45</v>
      </c>
      <c r="C149" s="34">
        <v>1405</v>
      </c>
      <c r="D149" s="35">
        <v>0.0175</v>
      </c>
      <c r="E149" s="33"/>
      <c r="F149" s="74"/>
      <c r="G149" s="34">
        <v>20</v>
      </c>
      <c r="H149" s="34" t="s">
        <v>440</v>
      </c>
      <c r="I149" s="36">
        <v>1.3</v>
      </c>
    </row>
    <row r="150" spans="1:9" ht="15">
      <c r="A150" s="74"/>
      <c r="B150" s="34">
        <v>50</v>
      </c>
      <c r="C150" s="34" t="s">
        <v>987</v>
      </c>
      <c r="D150" s="35">
        <f>0.027+0.0705</f>
        <v>0.09749999999999999</v>
      </c>
      <c r="E150" s="33"/>
      <c r="F150" s="74"/>
      <c r="G150" s="34">
        <v>50</v>
      </c>
      <c r="H150" s="34" t="s">
        <v>888</v>
      </c>
      <c r="I150" s="36">
        <v>0.3</v>
      </c>
    </row>
    <row r="151" spans="1:9" ht="15" customHeight="1">
      <c r="A151" s="74"/>
      <c r="B151" s="34">
        <v>65</v>
      </c>
      <c r="C151" s="34">
        <v>1400</v>
      </c>
      <c r="D151" s="35">
        <v>0.035</v>
      </c>
      <c r="E151" s="33"/>
      <c r="F151" s="74"/>
      <c r="G151" s="34">
        <v>60</v>
      </c>
      <c r="H151" s="34" t="s">
        <v>770</v>
      </c>
      <c r="I151" s="36">
        <v>1.43</v>
      </c>
    </row>
    <row r="152" spans="1:9" ht="15">
      <c r="A152" s="74"/>
      <c r="B152" s="34">
        <v>70</v>
      </c>
      <c r="C152" s="34" t="s">
        <v>941</v>
      </c>
      <c r="D152" s="35">
        <f>0.07+0.607-0.177</f>
        <v>0.5</v>
      </c>
      <c r="E152" s="33"/>
      <c r="F152" s="74"/>
      <c r="G152" s="34">
        <v>65</v>
      </c>
      <c r="H152" s="34" t="s">
        <v>440</v>
      </c>
      <c r="I152" s="36">
        <v>0.8</v>
      </c>
    </row>
    <row r="153" spans="1:9" ht="15" customHeight="1">
      <c r="A153" s="74"/>
      <c r="B153" s="34">
        <v>75</v>
      </c>
      <c r="C153" s="34" t="s">
        <v>939</v>
      </c>
      <c r="D153" s="35">
        <f>0.088+0.053</f>
        <v>0.141</v>
      </c>
      <c r="E153" s="33"/>
      <c r="F153" s="74"/>
      <c r="G153" s="34">
        <v>70</v>
      </c>
      <c r="H153" s="34" t="s">
        <v>440</v>
      </c>
      <c r="I153" s="36">
        <v>2.3</v>
      </c>
    </row>
    <row r="154" spans="1:9" ht="15" customHeight="1">
      <c r="A154" s="74"/>
      <c r="B154" s="34">
        <v>80</v>
      </c>
      <c r="C154" s="34" t="s">
        <v>663</v>
      </c>
      <c r="D154" s="35">
        <v>0.319</v>
      </c>
      <c r="E154" s="33"/>
      <c r="F154" s="74"/>
      <c r="G154" s="34">
        <v>80</v>
      </c>
      <c r="H154" s="34">
        <v>1615</v>
      </c>
      <c r="I154" s="36">
        <v>0.063</v>
      </c>
    </row>
    <row r="155" spans="1:9" ht="15" customHeight="1">
      <c r="A155" s="74"/>
      <c r="B155" s="34">
        <v>90</v>
      </c>
      <c r="C155" s="34">
        <v>130</v>
      </c>
      <c r="D155" s="35">
        <v>0.0069</v>
      </c>
      <c r="E155" s="33"/>
      <c r="F155" s="74"/>
      <c r="G155" s="34">
        <v>85</v>
      </c>
      <c r="H155" s="34" t="s">
        <v>509</v>
      </c>
      <c r="I155" s="36">
        <v>0.6</v>
      </c>
    </row>
    <row r="156" spans="1:9" ht="15" customHeight="1">
      <c r="A156" s="74"/>
      <c r="B156" s="34">
        <v>100</v>
      </c>
      <c r="C156" s="34" t="s">
        <v>1011</v>
      </c>
      <c r="D156" s="35">
        <f>0.221+0.32+0.356+0.359</f>
        <v>1.256</v>
      </c>
      <c r="E156" s="33"/>
      <c r="F156" s="74"/>
      <c r="G156" s="34">
        <v>90</v>
      </c>
      <c r="H156" s="34" t="s">
        <v>924</v>
      </c>
      <c r="I156" s="35">
        <f>0.067+0.087+0.88-0.024-0.048-0.015-0.003-0.111-0.01-0.05</f>
        <v>0.7729999999999999</v>
      </c>
    </row>
    <row r="157" spans="1:9" ht="15" customHeight="1">
      <c r="A157" s="74"/>
      <c r="B157" s="42" t="s">
        <v>757</v>
      </c>
      <c r="C157" s="34">
        <v>40</v>
      </c>
      <c r="D157" s="35">
        <f>0.0034+0.0035</f>
        <v>0.0069</v>
      </c>
      <c r="E157" s="33"/>
      <c r="F157" s="74"/>
      <c r="G157" s="34">
        <v>100</v>
      </c>
      <c r="H157" s="34">
        <v>4000</v>
      </c>
      <c r="I157" s="35">
        <v>1.14</v>
      </c>
    </row>
    <row r="158" spans="1:9" ht="15">
      <c r="A158" s="74"/>
      <c r="B158" s="34">
        <v>115</v>
      </c>
      <c r="C158" s="34" t="s">
        <v>938</v>
      </c>
      <c r="D158" s="35">
        <f>0.003+0.161</f>
        <v>0.164</v>
      </c>
      <c r="E158" s="33"/>
      <c r="F158" s="74"/>
      <c r="G158" s="34">
        <v>120</v>
      </c>
      <c r="H158" s="34" t="s">
        <v>1015</v>
      </c>
      <c r="I158" s="35">
        <f>0.047+0.1093</f>
        <v>0.1563</v>
      </c>
    </row>
    <row r="159" spans="1:9" ht="15">
      <c r="A159" s="74"/>
      <c r="B159" s="34" t="s">
        <v>453</v>
      </c>
      <c r="C159" s="34">
        <v>25</v>
      </c>
      <c r="D159" s="35">
        <v>0.002</v>
      </c>
      <c r="E159" s="33"/>
      <c r="F159" s="74"/>
      <c r="G159" s="34">
        <v>140</v>
      </c>
      <c r="H159" s="34">
        <v>1420</v>
      </c>
      <c r="I159" s="35">
        <v>0.175</v>
      </c>
    </row>
    <row r="160" spans="1:9" ht="15">
      <c r="A160" s="74"/>
      <c r="B160" s="34" t="s">
        <v>592</v>
      </c>
      <c r="C160" s="34" t="s">
        <v>606</v>
      </c>
      <c r="D160" s="35">
        <f>0.003+(0.003*3)</f>
        <v>0.012</v>
      </c>
      <c r="E160" s="33"/>
      <c r="F160" s="74"/>
      <c r="G160" s="34">
        <v>150</v>
      </c>
      <c r="H160" s="34">
        <v>4000</v>
      </c>
      <c r="I160" s="35">
        <f>0.93+2.52</f>
        <v>3.45</v>
      </c>
    </row>
    <row r="161" spans="1:9" ht="15" customHeight="1">
      <c r="A161" s="74"/>
      <c r="B161" s="34" t="s">
        <v>607</v>
      </c>
      <c r="C161" s="34">
        <v>25</v>
      </c>
      <c r="D161" s="35">
        <v>0.002</v>
      </c>
      <c r="E161" s="33"/>
      <c r="F161" s="74"/>
      <c r="G161" s="34">
        <v>160</v>
      </c>
      <c r="H161" s="34" t="s">
        <v>440</v>
      </c>
      <c r="I161" s="35">
        <v>0.53</v>
      </c>
    </row>
    <row r="162" spans="1:9" ht="15">
      <c r="A162" s="74"/>
      <c r="B162" s="32" t="s">
        <v>601</v>
      </c>
      <c r="C162" s="34" t="s">
        <v>608</v>
      </c>
      <c r="D162" s="35">
        <f>0.0025+0.0085</f>
        <v>0.011000000000000001</v>
      </c>
      <c r="E162" s="33"/>
      <c r="F162" s="74"/>
      <c r="G162" s="34">
        <v>170</v>
      </c>
      <c r="H162" s="34">
        <v>4960</v>
      </c>
      <c r="I162" s="35">
        <v>1.154</v>
      </c>
    </row>
    <row r="163" spans="1:9" ht="15">
      <c r="A163" s="74"/>
      <c r="B163" s="32" t="s">
        <v>591</v>
      </c>
      <c r="C163" s="34">
        <v>40</v>
      </c>
      <c r="D163" s="35">
        <v>0.005</v>
      </c>
      <c r="E163" s="33"/>
      <c r="F163" s="74"/>
      <c r="G163" s="32">
        <v>180</v>
      </c>
      <c r="H163" s="34">
        <v>3000</v>
      </c>
      <c r="I163" s="35">
        <v>2.8</v>
      </c>
    </row>
    <row r="164" spans="1:9" ht="15">
      <c r="A164" s="74"/>
      <c r="B164" s="34" t="s">
        <v>556</v>
      </c>
      <c r="C164" s="34" t="s">
        <v>917</v>
      </c>
      <c r="D164" s="35">
        <f>0.196+0.205</f>
        <v>0.401</v>
      </c>
      <c r="E164" s="33"/>
      <c r="F164" s="74"/>
      <c r="G164" s="34" t="s">
        <v>535</v>
      </c>
      <c r="H164" s="34">
        <v>1310</v>
      </c>
      <c r="I164" s="35">
        <v>0.385</v>
      </c>
    </row>
    <row r="165" spans="1:9" ht="15">
      <c r="A165" s="74"/>
      <c r="B165" s="34" t="s">
        <v>499</v>
      </c>
      <c r="C165" s="34">
        <v>30</v>
      </c>
      <c r="D165" s="35">
        <v>0.006</v>
      </c>
      <c r="E165" s="33"/>
      <c r="F165" s="74"/>
      <c r="G165" s="34" t="s">
        <v>561</v>
      </c>
      <c r="H165" s="34" t="s">
        <v>440</v>
      </c>
      <c r="I165" s="36">
        <v>0.875</v>
      </c>
    </row>
    <row r="166" spans="1:9" ht="15">
      <c r="A166" s="74"/>
      <c r="B166" s="34" t="s">
        <v>630</v>
      </c>
      <c r="C166" s="34">
        <v>65</v>
      </c>
      <c r="D166" s="35">
        <v>0.011</v>
      </c>
      <c r="E166" s="33"/>
      <c r="F166" s="74"/>
      <c r="G166" s="32" t="s">
        <v>549</v>
      </c>
      <c r="H166" s="32">
        <v>230</v>
      </c>
      <c r="I166" s="36">
        <v>0.571</v>
      </c>
    </row>
    <row r="167" spans="1:9" ht="15">
      <c r="A167" s="75"/>
      <c r="B167" s="34" t="s">
        <v>851</v>
      </c>
      <c r="C167" s="34">
        <v>1250</v>
      </c>
      <c r="D167" s="35">
        <v>0.276</v>
      </c>
      <c r="E167" s="33"/>
      <c r="F167" s="75"/>
      <c r="G167" s="32" t="s">
        <v>560</v>
      </c>
      <c r="H167" s="32">
        <v>250</v>
      </c>
      <c r="I167" s="36">
        <v>0.63</v>
      </c>
    </row>
    <row r="168" spans="1:9" ht="15">
      <c r="A168" s="9" t="s">
        <v>609</v>
      </c>
      <c r="B168" s="34" t="s">
        <v>535</v>
      </c>
      <c r="C168" s="34">
        <v>1480</v>
      </c>
      <c r="D168" s="35">
        <v>0.362</v>
      </c>
      <c r="E168" s="33"/>
      <c r="F168" s="9" t="s">
        <v>469</v>
      </c>
      <c r="G168" s="43">
        <v>42</v>
      </c>
      <c r="H168" s="38">
        <v>1740</v>
      </c>
      <c r="I168" s="56">
        <f>0.027</f>
        <v>0.027</v>
      </c>
    </row>
    <row r="169" spans="1:9" ht="30">
      <c r="A169" s="73" t="s">
        <v>548</v>
      </c>
      <c r="B169" s="34">
        <v>80</v>
      </c>
      <c r="C169" s="34" t="s">
        <v>902</v>
      </c>
      <c r="D169" s="35">
        <f>0.066+0.234+0.11</f>
        <v>0.41000000000000003</v>
      </c>
      <c r="E169" s="33"/>
      <c r="F169" s="82" t="s">
        <v>295</v>
      </c>
      <c r="G169" s="43">
        <v>115</v>
      </c>
      <c r="H169" s="38">
        <v>3650</v>
      </c>
      <c r="I169" s="56">
        <v>0.3</v>
      </c>
    </row>
    <row r="170" spans="1:9" ht="15">
      <c r="A170" s="75"/>
      <c r="B170" s="34">
        <v>100</v>
      </c>
      <c r="C170" s="42" t="s">
        <v>966</v>
      </c>
      <c r="D170" s="35">
        <v>0.33</v>
      </c>
      <c r="E170" s="33"/>
      <c r="F170" s="82"/>
      <c r="G170" s="38">
        <v>120</v>
      </c>
      <c r="H170" s="38" t="s">
        <v>440</v>
      </c>
      <c r="I170" s="56">
        <v>0.57</v>
      </c>
    </row>
    <row r="171" spans="1:9" ht="15">
      <c r="A171" s="73" t="s">
        <v>13</v>
      </c>
      <c r="B171" s="34">
        <v>16</v>
      </c>
      <c r="C171" s="34" t="s">
        <v>770</v>
      </c>
      <c r="D171" s="35">
        <v>0.3</v>
      </c>
      <c r="E171" s="33"/>
      <c r="F171" s="82"/>
      <c r="G171" s="34" t="s">
        <v>654</v>
      </c>
      <c r="H171" s="34">
        <v>30</v>
      </c>
      <c r="I171" s="35">
        <f>0.038</f>
        <v>0.038</v>
      </c>
    </row>
    <row r="172" spans="1:9" ht="15">
      <c r="A172" s="74"/>
      <c r="B172" s="34">
        <v>20</v>
      </c>
      <c r="C172" s="34">
        <v>5500</v>
      </c>
      <c r="D172" s="35">
        <v>0.767</v>
      </c>
      <c r="E172" s="33"/>
      <c r="F172" s="73" t="s">
        <v>404</v>
      </c>
      <c r="G172" s="34">
        <v>80</v>
      </c>
      <c r="H172" s="34">
        <v>890</v>
      </c>
      <c r="I172" s="35">
        <v>0.035</v>
      </c>
    </row>
    <row r="173" spans="1:9" ht="30">
      <c r="A173" s="74"/>
      <c r="B173" s="34">
        <v>22</v>
      </c>
      <c r="C173" s="34" t="s">
        <v>770</v>
      </c>
      <c r="D173" s="35">
        <v>0.45</v>
      </c>
      <c r="E173" s="33"/>
      <c r="F173" s="75"/>
      <c r="G173" s="34">
        <v>100</v>
      </c>
      <c r="H173" s="34" t="s">
        <v>820</v>
      </c>
      <c r="I173" s="35">
        <v>0.358</v>
      </c>
    </row>
    <row r="174" spans="1:9" ht="15">
      <c r="A174" s="74"/>
      <c r="B174" s="34">
        <v>25</v>
      </c>
      <c r="C174" s="34">
        <v>6000</v>
      </c>
      <c r="D174" s="35">
        <v>0.5</v>
      </c>
      <c r="E174" s="33"/>
      <c r="F174" s="31" t="s">
        <v>53</v>
      </c>
      <c r="G174" s="34">
        <v>60</v>
      </c>
      <c r="H174" s="34">
        <v>635</v>
      </c>
      <c r="I174" s="35">
        <v>0.0142</v>
      </c>
    </row>
    <row r="175" spans="1:9" ht="15">
      <c r="A175" s="74"/>
      <c r="B175" s="34">
        <v>30</v>
      </c>
      <c r="C175" s="34">
        <v>3500</v>
      </c>
      <c r="D175" s="35">
        <f>0.965-0.0135</f>
        <v>0.9515</v>
      </c>
      <c r="E175" s="33"/>
      <c r="F175" s="37" t="s">
        <v>211</v>
      </c>
      <c r="G175" s="34" t="s">
        <v>655</v>
      </c>
      <c r="H175" s="34">
        <v>300</v>
      </c>
      <c r="I175" s="35">
        <v>1.406</v>
      </c>
    </row>
    <row r="176" spans="1:9" ht="15">
      <c r="A176" s="74"/>
      <c r="B176" s="32">
        <v>36</v>
      </c>
      <c r="C176" s="34" t="s">
        <v>770</v>
      </c>
      <c r="D176" s="35">
        <v>0.525</v>
      </c>
      <c r="E176" s="33"/>
      <c r="F176" s="9" t="s">
        <v>177</v>
      </c>
      <c r="G176" s="34">
        <v>40</v>
      </c>
      <c r="H176" s="34">
        <v>2200</v>
      </c>
      <c r="I176" s="35">
        <v>0.0218</v>
      </c>
    </row>
    <row r="177" spans="1:9" ht="15">
      <c r="A177" s="74"/>
      <c r="B177" s="32">
        <v>40</v>
      </c>
      <c r="C177" s="34">
        <v>4000</v>
      </c>
      <c r="D177" s="35">
        <v>0.4</v>
      </c>
      <c r="E177" s="33"/>
      <c r="F177" s="9" t="s">
        <v>173</v>
      </c>
      <c r="G177" s="34">
        <v>40</v>
      </c>
      <c r="H177" s="34">
        <v>4000</v>
      </c>
      <c r="I177" s="35">
        <v>0.04</v>
      </c>
    </row>
    <row r="178" spans="1:9" ht="45">
      <c r="A178" s="75"/>
      <c r="B178" s="32">
        <v>50</v>
      </c>
      <c r="C178" s="32" t="s">
        <v>632</v>
      </c>
      <c r="D178" s="36">
        <f>0.042+0.044+0.058+0.06+0.053+0.057+0.06</f>
        <v>0.374</v>
      </c>
      <c r="E178" s="33"/>
      <c r="F178" s="78" t="s">
        <v>993</v>
      </c>
      <c r="G178" s="34">
        <v>40</v>
      </c>
      <c r="H178" s="34">
        <v>3500</v>
      </c>
      <c r="I178" s="35">
        <v>0.0345</v>
      </c>
    </row>
    <row r="179" spans="1:9" ht="15">
      <c r="A179" s="73" t="s">
        <v>12</v>
      </c>
      <c r="B179" s="38">
        <v>16</v>
      </c>
      <c r="C179" s="38" t="s">
        <v>782</v>
      </c>
      <c r="D179" s="56">
        <v>0.05</v>
      </c>
      <c r="E179" s="33"/>
      <c r="F179" s="80"/>
      <c r="G179" s="34">
        <v>50</v>
      </c>
      <c r="H179" s="34" t="s">
        <v>994</v>
      </c>
      <c r="I179" s="35">
        <v>0.146</v>
      </c>
    </row>
    <row r="180" spans="1:9" ht="15" customHeight="1">
      <c r="A180" s="74"/>
      <c r="B180" s="34" t="s">
        <v>688</v>
      </c>
      <c r="C180" s="34">
        <v>4000</v>
      </c>
      <c r="D180" s="35">
        <v>0.38</v>
      </c>
      <c r="E180" s="33"/>
      <c r="F180" s="73" t="s">
        <v>497</v>
      </c>
      <c r="G180" s="32">
        <v>55</v>
      </c>
      <c r="H180" s="34">
        <v>3470</v>
      </c>
      <c r="I180" s="35">
        <f>0.064</f>
        <v>0.064</v>
      </c>
    </row>
    <row r="181" spans="1:9" ht="30">
      <c r="A181" s="74"/>
      <c r="B181" s="34">
        <v>20</v>
      </c>
      <c r="C181" s="34" t="s">
        <v>832</v>
      </c>
      <c r="D181" s="35">
        <f>0.28-0.02-0.0193-0.0024-0.0036-0.0097-0.006-0.0024-0.0049-0.0048-0.0024-0.0027</f>
        <v>0.20179999999999995</v>
      </c>
      <c r="E181" s="33"/>
      <c r="F181" s="75"/>
      <c r="G181" s="34" t="s">
        <v>648</v>
      </c>
      <c r="H181" s="34">
        <v>320</v>
      </c>
      <c r="I181" s="35">
        <v>0.636</v>
      </c>
    </row>
    <row r="182" spans="1:9" ht="15">
      <c r="A182" s="74"/>
      <c r="B182" s="34">
        <v>50</v>
      </c>
      <c r="C182" s="34" t="s">
        <v>928</v>
      </c>
      <c r="D182" s="35">
        <f>0.021+0.026</f>
        <v>0.047</v>
      </c>
      <c r="E182" s="33"/>
      <c r="F182" s="73" t="s">
        <v>610</v>
      </c>
      <c r="G182" s="32">
        <v>30</v>
      </c>
      <c r="H182" s="34" t="s">
        <v>783</v>
      </c>
      <c r="I182" s="35">
        <f>0.013+0.013+0.0145+0.0145+0.0175</f>
        <v>0.07250000000000001</v>
      </c>
    </row>
    <row r="183" spans="1:9" ht="15">
      <c r="A183" s="74"/>
      <c r="B183" s="34">
        <v>70</v>
      </c>
      <c r="C183" s="34" t="s">
        <v>629</v>
      </c>
      <c r="D183" s="35">
        <f>0.273+0.085+0.129+0.08+0.074+0.079+0.076-0.0021+0.084-0.025-0.015</f>
        <v>0.8378999999999999</v>
      </c>
      <c r="E183" s="33"/>
      <c r="F183" s="75"/>
      <c r="G183" s="34" t="s">
        <v>611</v>
      </c>
      <c r="H183" s="34" t="s">
        <v>734</v>
      </c>
      <c r="I183" s="35">
        <f>0.053+0.059</f>
        <v>0.11199999999999999</v>
      </c>
    </row>
    <row r="184" spans="1:9" ht="15">
      <c r="A184" s="74"/>
      <c r="B184" s="34">
        <v>80</v>
      </c>
      <c r="C184" s="34">
        <v>2350</v>
      </c>
      <c r="D184" s="35">
        <f>0.091</f>
        <v>0.091</v>
      </c>
      <c r="E184" s="33"/>
      <c r="F184" s="37" t="s">
        <v>651</v>
      </c>
      <c r="G184" s="34">
        <v>65</v>
      </c>
      <c r="H184" s="34">
        <v>2730</v>
      </c>
      <c r="I184" s="35">
        <f>0.085-0.0155</f>
        <v>0.0695</v>
      </c>
    </row>
    <row r="185" spans="1:9" ht="15">
      <c r="A185" s="75"/>
      <c r="B185" s="32">
        <v>100</v>
      </c>
      <c r="C185" s="34" t="s">
        <v>823</v>
      </c>
      <c r="D185" s="35">
        <f>0.166+0.22+0.225+0.235+0.264+0.264+0.312</f>
        <v>1.686</v>
      </c>
      <c r="E185" s="33"/>
      <c r="F185" s="9" t="s">
        <v>633</v>
      </c>
      <c r="G185" s="34">
        <v>50</v>
      </c>
      <c r="H185" s="34">
        <v>3730</v>
      </c>
      <c r="I185" s="35">
        <v>0.056</v>
      </c>
    </row>
    <row r="186" spans="1:9" ht="15">
      <c r="A186" s="73" t="s">
        <v>452</v>
      </c>
      <c r="B186" s="32">
        <v>145</v>
      </c>
      <c r="C186" s="34">
        <v>120</v>
      </c>
      <c r="D186" s="35">
        <v>0.0158</v>
      </c>
      <c r="E186" s="33"/>
      <c r="F186" s="9" t="s">
        <v>983</v>
      </c>
      <c r="G186" s="34">
        <v>45</v>
      </c>
      <c r="H186" s="34">
        <v>1110</v>
      </c>
      <c r="I186" s="35">
        <v>0.0138</v>
      </c>
    </row>
    <row r="187" spans="1:9" ht="15">
      <c r="A187" s="74"/>
      <c r="B187" s="32">
        <v>150</v>
      </c>
      <c r="C187" s="34">
        <v>1155</v>
      </c>
      <c r="D187" s="35">
        <v>0.154</v>
      </c>
      <c r="E187" s="33"/>
      <c r="F187" s="9" t="s">
        <v>965</v>
      </c>
      <c r="G187" s="34">
        <v>100</v>
      </c>
      <c r="H187" s="34">
        <v>420</v>
      </c>
      <c r="I187" s="35">
        <v>0.025</v>
      </c>
    </row>
    <row r="188" spans="1:9" ht="15">
      <c r="A188" s="75"/>
      <c r="B188" s="32" t="s">
        <v>499</v>
      </c>
      <c r="C188" s="34">
        <v>1200</v>
      </c>
      <c r="D188" s="35">
        <v>0.232</v>
      </c>
      <c r="E188" s="33"/>
      <c r="F188" s="9"/>
      <c r="G188" s="34"/>
      <c r="H188" s="34"/>
      <c r="I188" s="35"/>
    </row>
    <row r="189" spans="1:6" ht="15">
      <c r="A189" s="62"/>
      <c r="B189" s="63"/>
      <c r="C189" s="63"/>
      <c r="D189" s="67"/>
      <c r="E189" s="33"/>
      <c r="F189" s="12"/>
    </row>
    <row r="190" spans="1:9" ht="18.75">
      <c r="A190" s="76" t="s">
        <v>649</v>
      </c>
      <c r="B190" s="77"/>
      <c r="C190" s="77"/>
      <c r="D190" s="77"/>
      <c r="E190" s="77"/>
      <c r="F190" s="77"/>
      <c r="G190" s="77"/>
      <c r="H190" s="77"/>
      <c r="I190" s="77"/>
    </row>
    <row r="191" spans="1:9" ht="31.5">
      <c r="A191" s="59" t="s">
        <v>441</v>
      </c>
      <c r="B191" s="60" t="s">
        <v>515</v>
      </c>
      <c r="C191" s="60" t="s">
        <v>15</v>
      </c>
      <c r="D191" s="68" t="s">
        <v>16</v>
      </c>
      <c r="E191" s="41"/>
      <c r="F191" s="59" t="s">
        <v>441</v>
      </c>
      <c r="G191" s="59" t="s">
        <v>515</v>
      </c>
      <c r="H191" s="59" t="s">
        <v>15</v>
      </c>
      <c r="I191" s="72" t="s">
        <v>16</v>
      </c>
    </row>
    <row r="192" spans="1:9" ht="15">
      <c r="A192" s="9" t="s">
        <v>921</v>
      </c>
      <c r="B192" s="34" t="s">
        <v>514</v>
      </c>
      <c r="C192" s="34" t="s">
        <v>920</v>
      </c>
      <c r="D192" s="35">
        <f>0.115-0.0034-0.0095</f>
        <v>0.10210000000000001</v>
      </c>
      <c r="E192" s="41"/>
      <c r="F192" s="73" t="s">
        <v>5</v>
      </c>
      <c r="G192" s="34" t="s">
        <v>684</v>
      </c>
      <c r="H192" s="34">
        <v>400</v>
      </c>
      <c r="I192" s="35">
        <v>0.0367</v>
      </c>
    </row>
    <row r="193" spans="1:9" ht="15">
      <c r="A193" s="73" t="s">
        <v>448</v>
      </c>
      <c r="B193" s="34" t="s">
        <v>514</v>
      </c>
      <c r="C193" s="34" t="s">
        <v>819</v>
      </c>
      <c r="D193" s="35">
        <f>0.1-0.0052-0.0032-0.0027-0.0107-0.0031-0.0025-0.0027-0.0189-0.0054-0.0032-0.0027-0.0112-0.0027-0.0026+0.0937-0.0026-0.0031-0.0311-0.0038-0.0023</f>
        <v>0.07400000000000001</v>
      </c>
      <c r="E193" s="41"/>
      <c r="F193" s="74"/>
      <c r="G193" s="34" t="s">
        <v>863</v>
      </c>
      <c r="H193" s="34">
        <v>305</v>
      </c>
      <c r="I193" s="35">
        <v>0.033</v>
      </c>
    </row>
    <row r="194" spans="1:9" ht="15">
      <c r="A194" s="74"/>
      <c r="B194" s="34" t="s">
        <v>969</v>
      </c>
      <c r="C194" s="34" t="s">
        <v>992</v>
      </c>
      <c r="D194" s="35">
        <f>0.02+0.02</f>
        <v>0.04</v>
      </c>
      <c r="E194" s="41"/>
      <c r="F194" s="74"/>
      <c r="G194" s="34" t="s">
        <v>1023</v>
      </c>
      <c r="H194" s="34">
        <v>400</v>
      </c>
      <c r="I194" s="35">
        <v>0.0488</v>
      </c>
    </row>
    <row r="195" spans="1:9" ht="15">
      <c r="A195" s="74"/>
      <c r="B195" s="34" t="s">
        <v>842</v>
      </c>
      <c r="C195" s="34" t="s">
        <v>843</v>
      </c>
      <c r="D195" s="35">
        <v>0.0081</v>
      </c>
      <c r="E195" s="41"/>
      <c r="F195" s="74"/>
      <c r="G195" s="34" t="s">
        <v>529</v>
      </c>
      <c r="H195" s="34" t="s">
        <v>955</v>
      </c>
      <c r="I195" s="35">
        <f>0.303+0.316</f>
        <v>0.619</v>
      </c>
    </row>
    <row r="196" spans="1:9" ht="15">
      <c r="A196" s="74"/>
      <c r="B196" s="34" t="s">
        <v>996</v>
      </c>
      <c r="C196" s="34">
        <v>170</v>
      </c>
      <c r="D196" s="35">
        <v>0.0015</v>
      </c>
      <c r="E196" s="41"/>
      <c r="F196" s="74"/>
      <c r="G196" s="34" t="s">
        <v>666</v>
      </c>
      <c r="H196" s="34">
        <v>340</v>
      </c>
      <c r="I196" s="35">
        <v>0.023</v>
      </c>
    </row>
    <row r="197" spans="1:9" ht="15">
      <c r="A197" s="74"/>
      <c r="B197" s="34" t="s">
        <v>777</v>
      </c>
      <c r="C197" s="34">
        <v>690</v>
      </c>
      <c r="D197" s="35">
        <v>0.0077</v>
      </c>
      <c r="E197" s="41"/>
      <c r="F197" s="74"/>
      <c r="G197" s="34" t="s">
        <v>668</v>
      </c>
      <c r="H197" s="34">
        <v>480</v>
      </c>
      <c r="I197" s="35">
        <v>0.161</v>
      </c>
    </row>
    <row r="198" spans="1:9" ht="15">
      <c r="A198" s="74"/>
      <c r="B198" s="34" t="s">
        <v>778</v>
      </c>
      <c r="C198" s="34">
        <v>680</v>
      </c>
      <c r="D198" s="35">
        <v>0.0079</v>
      </c>
      <c r="E198" s="41"/>
      <c r="F198" s="74"/>
      <c r="G198" s="34" t="s">
        <v>512</v>
      </c>
      <c r="H198" s="34">
        <v>1865</v>
      </c>
      <c r="I198" s="35">
        <v>0.4</v>
      </c>
    </row>
    <row r="199" spans="1:9" ht="15" customHeight="1">
      <c r="A199" s="75"/>
      <c r="B199" s="34" t="s">
        <v>973</v>
      </c>
      <c r="C199" s="34">
        <v>410</v>
      </c>
      <c r="D199" s="35">
        <f>0.0084+0.0087</f>
        <v>0.017099999999999997</v>
      </c>
      <c r="E199" s="41"/>
      <c r="F199" s="75"/>
      <c r="G199" s="34" t="s">
        <v>677</v>
      </c>
      <c r="H199" s="34">
        <v>310</v>
      </c>
      <c r="I199" s="35">
        <v>0.248</v>
      </c>
    </row>
    <row r="200" spans="1:9" ht="15">
      <c r="A200" s="9" t="s">
        <v>604</v>
      </c>
      <c r="B200" s="34" t="s">
        <v>722</v>
      </c>
      <c r="C200" s="34">
        <v>1095</v>
      </c>
      <c r="D200" s="35">
        <v>0.0094</v>
      </c>
      <c r="E200" s="41"/>
      <c r="F200" s="31" t="s">
        <v>540</v>
      </c>
      <c r="G200" s="34" t="s">
        <v>456</v>
      </c>
      <c r="H200" s="34">
        <v>650</v>
      </c>
      <c r="I200" s="36">
        <v>0.037</v>
      </c>
    </row>
    <row r="201" spans="1:9" ht="28.5">
      <c r="A201" s="9" t="s">
        <v>500</v>
      </c>
      <c r="B201" s="34" t="s">
        <v>501</v>
      </c>
      <c r="C201" s="34">
        <v>1110</v>
      </c>
      <c r="D201" s="35">
        <v>0.02</v>
      </c>
      <c r="E201" s="41"/>
      <c r="F201" s="9" t="s">
        <v>573</v>
      </c>
      <c r="G201" s="34" t="s">
        <v>963</v>
      </c>
      <c r="H201" s="34" t="s">
        <v>979</v>
      </c>
      <c r="I201" s="36">
        <f>0.099-0.0501-0.0008-0.0016-0.0099-0.0036-0.0182-0.0018-0.0087</f>
        <v>0.004300000000000009</v>
      </c>
    </row>
    <row r="202" spans="1:9" ht="15" customHeight="1">
      <c r="A202" s="73" t="s">
        <v>19</v>
      </c>
      <c r="B202" s="34" t="s">
        <v>1021</v>
      </c>
      <c r="C202" s="34">
        <v>1170</v>
      </c>
      <c r="D202" s="35">
        <v>0.025</v>
      </c>
      <c r="E202" s="41"/>
      <c r="F202" s="81" t="s">
        <v>978</v>
      </c>
      <c r="G202" s="34" t="s">
        <v>514</v>
      </c>
      <c r="H202" s="34" t="s">
        <v>840</v>
      </c>
      <c r="I202" s="35">
        <v>0.32</v>
      </c>
    </row>
    <row r="203" spans="1:9" ht="15">
      <c r="A203" s="74"/>
      <c r="B203" s="42" t="s">
        <v>861</v>
      </c>
      <c r="C203" s="42">
        <v>1185</v>
      </c>
      <c r="D203" s="52">
        <v>0.046</v>
      </c>
      <c r="E203" s="41"/>
      <c r="F203" s="81"/>
      <c r="G203" s="34" t="s">
        <v>743</v>
      </c>
      <c r="H203" s="34" t="s">
        <v>841</v>
      </c>
      <c r="I203" s="35">
        <f>0.195-0.0066-0.0216-0.0095-0.0058-0.0292-0.0057-0.0112-0.0059-0.0033-0.0054-0.0321-0.0025-0.0038-0.0053-0.0031</f>
        <v>0.044</v>
      </c>
    </row>
    <row r="204" spans="1:9" ht="30">
      <c r="A204" s="74"/>
      <c r="B204" s="42" t="s">
        <v>1013</v>
      </c>
      <c r="C204" s="42">
        <v>1100</v>
      </c>
      <c r="D204" s="52">
        <v>0.051</v>
      </c>
      <c r="E204" s="41"/>
      <c r="F204" s="81"/>
      <c r="G204" s="34" t="s">
        <v>708</v>
      </c>
      <c r="H204" s="34" t="s">
        <v>1010</v>
      </c>
      <c r="I204" s="35">
        <f>1.067+0.235+0.233+0.216+0.223+0.12-0.0375-0.379-0.12-0.049</f>
        <v>1.5085000000000002</v>
      </c>
    </row>
    <row r="205" spans="1:9" ht="15">
      <c r="A205" s="74"/>
      <c r="B205" s="42" t="s">
        <v>816</v>
      </c>
      <c r="C205" s="42" t="s">
        <v>811</v>
      </c>
      <c r="D205" s="52">
        <f>0.084+0.095</f>
        <v>0.179</v>
      </c>
      <c r="E205" s="41"/>
      <c r="F205" s="78" t="s">
        <v>478</v>
      </c>
      <c r="G205" s="34" t="s">
        <v>652</v>
      </c>
      <c r="H205" s="34" t="s">
        <v>740</v>
      </c>
      <c r="I205" s="35">
        <f>0.197-0.0054-0.0054-0.0368-0.0106-0.0055-0.01-0.0053</f>
        <v>0.11800000000000004</v>
      </c>
    </row>
    <row r="206" spans="1:9" ht="18.75" customHeight="1">
      <c r="A206" s="75"/>
      <c r="B206" s="42" t="s">
        <v>817</v>
      </c>
      <c r="C206" s="42">
        <v>1200</v>
      </c>
      <c r="D206" s="52">
        <v>0.132</v>
      </c>
      <c r="E206" s="41"/>
      <c r="F206" s="79"/>
      <c r="G206" s="34" t="s">
        <v>901</v>
      </c>
      <c r="H206" s="34">
        <v>490</v>
      </c>
      <c r="I206" s="35">
        <v>0.0023</v>
      </c>
    </row>
    <row r="207" spans="1:9" ht="15">
      <c r="A207" s="73" t="s">
        <v>3</v>
      </c>
      <c r="B207" s="34" t="s">
        <v>772</v>
      </c>
      <c r="C207" s="34" t="s">
        <v>440</v>
      </c>
      <c r="D207" s="35">
        <f>0.026+0.036</f>
        <v>0.062</v>
      </c>
      <c r="E207" s="41"/>
      <c r="F207" s="79"/>
      <c r="G207" s="34" t="s">
        <v>689</v>
      </c>
      <c r="H207" s="34">
        <v>410</v>
      </c>
      <c r="I207" s="35">
        <v>0.023</v>
      </c>
    </row>
    <row r="208" spans="1:9" ht="15">
      <c r="A208" s="74"/>
      <c r="B208" s="34" t="s">
        <v>720</v>
      </c>
      <c r="C208" s="34">
        <v>610</v>
      </c>
      <c r="D208" s="35">
        <v>0.0055</v>
      </c>
      <c r="E208" s="41"/>
      <c r="F208" s="79"/>
      <c r="G208" s="34" t="s">
        <v>577</v>
      </c>
      <c r="H208" s="34">
        <v>815</v>
      </c>
      <c r="I208" s="35">
        <v>0.088</v>
      </c>
    </row>
    <row r="209" spans="1:9" ht="15">
      <c r="A209" s="74"/>
      <c r="B209" s="34" t="s">
        <v>569</v>
      </c>
      <c r="C209" s="34">
        <v>245</v>
      </c>
      <c r="D209" s="35">
        <v>0.0034</v>
      </c>
      <c r="E209" s="41"/>
      <c r="F209" s="79"/>
      <c r="G209" s="34" t="s">
        <v>854</v>
      </c>
      <c r="H209" s="34" t="s">
        <v>855</v>
      </c>
      <c r="I209" s="35">
        <f>0.038+0.036</f>
        <v>0.074</v>
      </c>
    </row>
    <row r="210" spans="1:9" ht="15">
      <c r="A210" s="74"/>
      <c r="B210" s="34" t="s">
        <v>564</v>
      </c>
      <c r="C210" s="34" t="s">
        <v>721</v>
      </c>
      <c r="D210" s="35">
        <f>0.0089+0.009+0.0155</f>
        <v>0.0334</v>
      </c>
      <c r="E210" s="41"/>
      <c r="F210" s="79"/>
      <c r="G210" s="34" t="s">
        <v>856</v>
      </c>
      <c r="H210" s="34">
        <v>525</v>
      </c>
      <c r="I210" s="35">
        <v>0.041</v>
      </c>
    </row>
    <row r="211" spans="1:9" ht="15" customHeight="1">
      <c r="A211" s="74"/>
      <c r="B211" s="34" t="s">
        <v>790</v>
      </c>
      <c r="C211" s="34" t="s">
        <v>791</v>
      </c>
      <c r="D211" s="35">
        <f>0.062+0.063</f>
        <v>0.125</v>
      </c>
      <c r="E211" s="41"/>
      <c r="F211" s="79"/>
      <c r="G211" s="34" t="s">
        <v>578</v>
      </c>
      <c r="H211" s="34">
        <v>815</v>
      </c>
      <c r="I211" s="35">
        <v>0.131</v>
      </c>
    </row>
    <row r="212" spans="1:9" ht="15">
      <c r="A212" s="75"/>
      <c r="B212" s="34" t="s">
        <v>794</v>
      </c>
      <c r="C212" s="34">
        <v>1020</v>
      </c>
      <c r="D212" s="35">
        <v>0.114</v>
      </c>
      <c r="E212" s="41"/>
      <c r="F212" s="79"/>
      <c r="G212" s="34" t="s">
        <v>638</v>
      </c>
      <c r="H212" s="34">
        <v>420</v>
      </c>
      <c r="I212" s="35">
        <v>0.063</v>
      </c>
    </row>
    <row r="213" spans="1:9" ht="15">
      <c r="A213" s="73" t="s">
        <v>41</v>
      </c>
      <c r="B213" s="34" t="s">
        <v>964</v>
      </c>
      <c r="C213" s="34">
        <v>342</v>
      </c>
      <c r="D213" s="35">
        <v>0.0186</v>
      </c>
      <c r="E213" s="41"/>
      <c r="F213" s="80"/>
      <c r="G213" s="34" t="s">
        <v>712</v>
      </c>
      <c r="H213" s="34">
        <v>550</v>
      </c>
      <c r="I213" s="35">
        <v>0.0174</v>
      </c>
    </row>
    <row r="214" spans="1:9" ht="15">
      <c r="A214" s="74"/>
      <c r="B214" s="34" t="s">
        <v>445</v>
      </c>
      <c r="C214" s="34">
        <v>3000</v>
      </c>
      <c r="D214" s="35">
        <v>0.62</v>
      </c>
      <c r="E214" s="41"/>
      <c r="F214" s="73" t="s">
        <v>496</v>
      </c>
      <c r="G214" s="34" t="s">
        <v>637</v>
      </c>
      <c r="H214" s="34" t="s">
        <v>900</v>
      </c>
      <c r="I214" s="35">
        <v>0.0035</v>
      </c>
    </row>
    <row r="215" spans="1:9" ht="15">
      <c r="A215" s="74"/>
      <c r="B215" s="32" t="s">
        <v>684</v>
      </c>
      <c r="C215" s="34">
        <v>1075</v>
      </c>
      <c r="D215" s="35">
        <v>0.069</v>
      </c>
      <c r="E215" s="41"/>
      <c r="F215" s="75"/>
      <c r="G215" s="34" t="s">
        <v>485</v>
      </c>
      <c r="H215" s="34">
        <v>240</v>
      </c>
      <c r="I215" s="35">
        <v>0.025</v>
      </c>
    </row>
    <row r="216" spans="1:9" ht="15">
      <c r="A216" s="74"/>
      <c r="B216" s="32" t="s">
        <v>891</v>
      </c>
      <c r="C216" s="34">
        <v>380</v>
      </c>
      <c r="D216" s="35">
        <v>0.06</v>
      </c>
      <c r="E216" s="41"/>
      <c r="F216" s="31" t="s">
        <v>491</v>
      </c>
      <c r="G216" s="34" t="s">
        <v>492</v>
      </c>
      <c r="H216" s="34" t="s">
        <v>493</v>
      </c>
      <c r="I216" s="35">
        <f>0.038+0.04+0.077</f>
        <v>0.155</v>
      </c>
    </row>
    <row r="217" spans="1:9" ht="15">
      <c r="A217" s="74"/>
      <c r="B217" s="32" t="s">
        <v>950</v>
      </c>
      <c r="C217" s="34">
        <v>400</v>
      </c>
      <c r="D217" s="35">
        <v>0.0153</v>
      </c>
      <c r="E217" s="41"/>
      <c r="F217" s="31" t="s">
        <v>813</v>
      </c>
      <c r="G217" s="34" t="s">
        <v>963</v>
      </c>
      <c r="H217" s="34" t="s">
        <v>980</v>
      </c>
      <c r="I217" s="35">
        <f>0.299-0.0031-0.0089-0.0108-0.0016-0.0023-0.0043-0.0032-0.071</f>
        <v>0.19379999999999997</v>
      </c>
    </row>
    <row r="218" spans="1:9" ht="15">
      <c r="A218" s="74"/>
      <c r="B218" s="34" t="s">
        <v>765</v>
      </c>
      <c r="C218" s="34">
        <v>380</v>
      </c>
      <c r="D218" s="35">
        <v>0.02</v>
      </c>
      <c r="E218" s="41"/>
      <c r="F218" s="73" t="s">
        <v>498</v>
      </c>
      <c r="G218" s="34" t="s">
        <v>862</v>
      </c>
      <c r="H218" s="34" t="s">
        <v>440</v>
      </c>
      <c r="I218" s="35">
        <v>0.03</v>
      </c>
    </row>
    <row r="219" spans="1:9" ht="15">
      <c r="A219" s="74"/>
      <c r="B219" s="34" t="s">
        <v>766</v>
      </c>
      <c r="C219" s="34">
        <v>380</v>
      </c>
      <c r="D219" s="35">
        <v>0.031</v>
      </c>
      <c r="E219" s="41"/>
      <c r="F219" s="74"/>
      <c r="G219" s="34" t="s">
        <v>521</v>
      </c>
      <c r="H219" s="34" t="s">
        <v>835</v>
      </c>
      <c r="I219" s="35">
        <f>0.167*2</f>
        <v>0.334</v>
      </c>
    </row>
    <row r="220" spans="1:9" ht="15">
      <c r="A220" s="74"/>
      <c r="B220" s="34" t="s">
        <v>767</v>
      </c>
      <c r="C220" s="34">
        <v>380</v>
      </c>
      <c r="D220" s="35">
        <f>0.033+0.033</f>
        <v>0.066</v>
      </c>
      <c r="E220" s="41"/>
      <c r="F220" s="74"/>
      <c r="G220" s="34" t="s">
        <v>896</v>
      </c>
      <c r="H220" s="34">
        <v>200</v>
      </c>
      <c r="I220" s="35">
        <v>0.034</v>
      </c>
    </row>
    <row r="221" spans="1:9" ht="15" customHeight="1">
      <c r="A221" s="74"/>
      <c r="B221" s="34" t="s">
        <v>768</v>
      </c>
      <c r="C221" s="34">
        <v>380</v>
      </c>
      <c r="D221" s="35">
        <v>0.038</v>
      </c>
      <c r="E221" s="41"/>
      <c r="F221" s="75"/>
      <c r="G221" s="34" t="s">
        <v>867</v>
      </c>
      <c r="H221" s="34">
        <v>255</v>
      </c>
      <c r="I221" s="35">
        <v>0.08</v>
      </c>
    </row>
    <row r="222" spans="1:9" ht="15" customHeight="1">
      <c r="A222" s="74"/>
      <c r="B222" s="32" t="s">
        <v>709</v>
      </c>
      <c r="C222" s="32" t="s">
        <v>685</v>
      </c>
      <c r="D222" s="35">
        <f>0.275+0.278+0.32</f>
        <v>0.873</v>
      </c>
      <c r="E222" s="41"/>
      <c r="F222" s="73" t="s">
        <v>1</v>
      </c>
      <c r="G222" s="34" t="s">
        <v>634</v>
      </c>
      <c r="H222" s="34" t="s">
        <v>735</v>
      </c>
      <c r="I222" s="35">
        <v>0.28</v>
      </c>
    </row>
    <row r="223" spans="1:9" ht="15" customHeight="1">
      <c r="A223" s="74"/>
      <c r="B223" s="32" t="s">
        <v>640</v>
      </c>
      <c r="C223" s="32" t="s">
        <v>641</v>
      </c>
      <c r="D223" s="35">
        <f>0.188+0.192</f>
        <v>0.38</v>
      </c>
      <c r="E223" s="41"/>
      <c r="F223" s="74"/>
      <c r="G223" s="34" t="s">
        <v>637</v>
      </c>
      <c r="H223" s="34" t="s">
        <v>738</v>
      </c>
      <c r="I223" s="35">
        <v>0.35</v>
      </c>
    </row>
    <row r="224" spans="1:9" ht="18.75" customHeight="1">
      <c r="A224" s="74"/>
      <c r="B224" s="34" t="s">
        <v>541</v>
      </c>
      <c r="C224" s="34">
        <v>420</v>
      </c>
      <c r="D224" s="35">
        <v>0.044</v>
      </c>
      <c r="E224" s="41"/>
      <c r="F224" s="74"/>
      <c r="G224" s="34" t="s">
        <v>463</v>
      </c>
      <c r="H224" s="34" t="s">
        <v>739</v>
      </c>
      <c r="I224" s="35">
        <f>0.1665-0.0068-0.0061-0.0033-0.1+0.1-0.0033-0.0056-0.0125+0.1039-0.0117-0.0061-0.0023-0.0054-0.0056-0.0055-0.0058-0.0059-0.0052-0.0062-0.0056-0.0034-0.022-0.0108-0.0022-0.0051-0.0028-0.0029-0.0055-0.0038</f>
        <v>0.10900000000000006</v>
      </c>
    </row>
    <row r="225" spans="1:9" ht="15.75" customHeight="1">
      <c r="A225" s="74"/>
      <c r="B225" s="34" t="s">
        <v>833</v>
      </c>
      <c r="C225" s="34">
        <v>430</v>
      </c>
      <c r="D225" s="35">
        <v>0.102</v>
      </c>
      <c r="E225" s="41"/>
      <c r="F225" s="74"/>
      <c r="G225" s="34" t="s">
        <v>997</v>
      </c>
      <c r="H225" s="34">
        <v>3700</v>
      </c>
      <c r="I225" s="35">
        <f>1+0.197-0.15</f>
        <v>1.0470000000000002</v>
      </c>
    </row>
    <row r="226" spans="1:9" ht="15">
      <c r="A226" s="74"/>
      <c r="B226" s="34" t="s">
        <v>991</v>
      </c>
      <c r="C226" s="34" t="s">
        <v>990</v>
      </c>
      <c r="D226" s="35">
        <f>0.127+0.134</f>
        <v>0.261</v>
      </c>
      <c r="E226" s="41"/>
      <c r="F226" s="74"/>
      <c r="G226" s="34" t="s">
        <v>1007</v>
      </c>
      <c r="H226" s="34" t="s">
        <v>1014</v>
      </c>
      <c r="I226" s="35">
        <v>0.269</v>
      </c>
    </row>
    <row r="227" spans="1:9" ht="15">
      <c r="A227" s="75"/>
      <c r="B227" s="34" t="s">
        <v>706</v>
      </c>
      <c r="C227" s="34">
        <v>330</v>
      </c>
      <c r="D227" s="35">
        <v>0.096</v>
      </c>
      <c r="E227" s="41"/>
      <c r="F227" s="74"/>
      <c r="G227" s="34" t="s">
        <v>758</v>
      </c>
      <c r="H227" s="34">
        <v>85</v>
      </c>
      <c r="I227" s="35">
        <v>0.0012</v>
      </c>
    </row>
    <row r="228" spans="1:9" ht="21.75" customHeight="1">
      <c r="A228" s="73" t="s">
        <v>42</v>
      </c>
      <c r="B228" s="34" t="s">
        <v>815</v>
      </c>
      <c r="C228" s="34" t="s">
        <v>440</v>
      </c>
      <c r="D228" s="35">
        <v>0.55</v>
      </c>
      <c r="E228" s="41"/>
      <c r="F228" s="74"/>
      <c r="G228" s="34" t="s">
        <v>998</v>
      </c>
      <c r="H228" s="34" t="s">
        <v>1016</v>
      </c>
      <c r="I228" s="35">
        <f>0.193-0.051</f>
        <v>0.14200000000000002</v>
      </c>
    </row>
    <row r="229" spans="1:9" ht="21.75" customHeight="1">
      <c r="A229" s="75"/>
      <c r="B229" s="34" t="s">
        <v>814</v>
      </c>
      <c r="C229" s="34" t="s">
        <v>440</v>
      </c>
      <c r="D229" s="35">
        <v>0.65</v>
      </c>
      <c r="E229" s="41"/>
      <c r="F229" s="74"/>
      <c r="G229" s="34" t="s">
        <v>518</v>
      </c>
      <c r="H229" s="34" t="s">
        <v>974</v>
      </c>
      <c r="I229" s="35">
        <f>0.0175+0.042</f>
        <v>0.059500000000000004</v>
      </c>
    </row>
    <row r="230" spans="1:9" ht="15">
      <c r="A230" s="73" t="s">
        <v>505</v>
      </c>
      <c r="B230" s="32" t="s">
        <v>724</v>
      </c>
      <c r="C230" s="32">
        <v>900</v>
      </c>
      <c r="D230" s="36">
        <f>0.053</f>
        <v>0.053</v>
      </c>
      <c r="E230" s="41"/>
      <c r="F230" s="74"/>
      <c r="G230" s="34" t="s">
        <v>946</v>
      </c>
      <c r="H230" s="34">
        <v>340</v>
      </c>
      <c r="I230" s="35">
        <v>0.0088</v>
      </c>
    </row>
    <row r="231" spans="1:9" ht="15">
      <c r="A231" s="74"/>
      <c r="B231" s="32" t="s">
        <v>741</v>
      </c>
      <c r="C231" s="32">
        <v>990</v>
      </c>
      <c r="D231" s="36">
        <v>0.063</v>
      </c>
      <c r="E231" s="41"/>
      <c r="F231" s="74"/>
      <c r="G231" s="34" t="s">
        <v>860</v>
      </c>
      <c r="H231" s="34">
        <v>175</v>
      </c>
      <c r="I231" s="35">
        <v>0.0046</v>
      </c>
    </row>
    <row r="232" spans="1:9" ht="15">
      <c r="A232" s="75"/>
      <c r="B232" s="32" t="s">
        <v>742</v>
      </c>
      <c r="C232" s="32">
        <v>1010</v>
      </c>
      <c r="D232" s="36">
        <v>0.149</v>
      </c>
      <c r="E232" s="41"/>
      <c r="F232" s="74"/>
      <c r="G232" s="34" t="s">
        <v>945</v>
      </c>
      <c r="H232" s="34">
        <v>180</v>
      </c>
      <c r="I232" s="35">
        <v>0.0103</v>
      </c>
    </row>
    <row r="233" spans="1:9" ht="15">
      <c r="A233" s="73" t="s">
        <v>39</v>
      </c>
      <c r="B233" s="34" t="s">
        <v>445</v>
      </c>
      <c r="C233" s="34" t="s">
        <v>440</v>
      </c>
      <c r="D233" s="35">
        <v>1.024</v>
      </c>
      <c r="E233" s="41"/>
      <c r="F233" s="74"/>
      <c r="G233" s="34" t="s">
        <v>759</v>
      </c>
      <c r="H233" s="34">
        <v>140</v>
      </c>
      <c r="I233" s="35">
        <v>0.0061</v>
      </c>
    </row>
    <row r="234" spans="1:9" ht="15">
      <c r="A234" s="74"/>
      <c r="B234" s="34" t="s">
        <v>487</v>
      </c>
      <c r="C234" s="34">
        <v>195</v>
      </c>
      <c r="D234" s="35">
        <v>0.018</v>
      </c>
      <c r="E234" s="41"/>
      <c r="F234" s="74"/>
      <c r="G234" s="34" t="s">
        <v>828</v>
      </c>
      <c r="H234" s="34">
        <v>1960</v>
      </c>
      <c r="I234" s="35">
        <v>0.1153</v>
      </c>
    </row>
    <row r="235" spans="1:9" ht="15" customHeight="1">
      <c r="A235" s="74"/>
      <c r="B235" s="34" t="s">
        <v>488</v>
      </c>
      <c r="C235" s="34">
        <v>250</v>
      </c>
      <c r="D235" s="35">
        <v>0.015</v>
      </c>
      <c r="E235" s="41"/>
      <c r="F235" s="74"/>
      <c r="G235" s="34" t="s">
        <v>713</v>
      </c>
      <c r="H235" s="34">
        <v>1855</v>
      </c>
      <c r="I235" s="35">
        <v>0.141</v>
      </c>
    </row>
    <row r="236" spans="1:9" ht="15">
      <c r="A236" s="74"/>
      <c r="B236" s="34" t="s">
        <v>489</v>
      </c>
      <c r="C236" s="34">
        <v>220</v>
      </c>
      <c r="D236" s="35">
        <v>0.017</v>
      </c>
      <c r="E236" s="41"/>
      <c r="F236" s="74"/>
      <c r="G236" s="34" t="s">
        <v>760</v>
      </c>
      <c r="H236" s="34">
        <v>175</v>
      </c>
      <c r="I236" s="35">
        <v>0.0237</v>
      </c>
    </row>
    <row r="237" spans="1:9" ht="15">
      <c r="A237" s="74"/>
      <c r="B237" s="34" t="s">
        <v>490</v>
      </c>
      <c r="C237" s="34">
        <v>190</v>
      </c>
      <c r="D237" s="35">
        <v>0.017</v>
      </c>
      <c r="E237" s="41"/>
      <c r="F237" s="75"/>
      <c r="G237" s="34" t="s">
        <v>947</v>
      </c>
      <c r="H237" s="34">
        <v>460</v>
      </c>
      <c r="I237" s="35">
        <v>0.0508</v>
      </c>
    </row>
    <row r="238" spans="1:9" ht="15">
      <c r="A238" s="74"/>
      <c r="B238" s="34" t="s">
        <v>664</v>
      </c>
      <c r="C238" s="34">
        <v>200</v>
      </c>
      <c r="D238" s="35">
        <v>0.023</v>
      </c>
      <c r="E238" s="41"/>
      <c r="F238" s="73" t="s">
        <v>48</v>
      </c>
      <c r="G238" s="34" t="s">
        <v>949</v>
      </c>
      <c r="H238" s="34">
        <v>105</v>
      </c>
      <c r="I238" s="35">
        <v>0.0043</v>
      </c>
    </row>
    <row r="239" spans="1:9" ht="15">
      <c r="A239" s="74"/>
      <c r="B239" s="34" t="s">
        <v>615</v>
      </c>
      <c r="C239" s="34">
        <v>160</v>
      </c>
      <c r="D239" s="35">
        <v>0.034</v>
      </c>
      <c r="E239" s="41"/>
      <c r="F239" s="75"/>
      <c r="G239" s="34" t="s">
        <v>892</v>
      </c>
      <c r="H239" s="34">
        <v>960</v>
      </c>
      <c r="I239" s="35">
        <v>0.143</v>
      </c>
    </row>
    <row r="240" spans="1:9" ht="15">
      <c r="A240" s="75"/>
      <c r="B240" s="34" t="s">
        <v>459</v>
      </c>
      <c r="C240" s="34">
        <v>625</v>
      </c>
      <c r="D240" s="36">
        <v>0.065</v>
      </c>
      <c r="E240" s="41"/>
      <c r="F240" s="78" t="s">
        <v>450</v>
      </c>
      <c r="G240" s="32" t="s">
        <v>844</v>
      </c>
      <c r="H240" s="32">
        <v>200</v>
      </c>
      <c r="I240" s="36">
        <v>0.002</v>
      </c>
    </row>
    <row r="241" spans="1:9" ht="15">
      <c r="A241" s="73" t="s">
        <v>464</v>
      </c>
      <c r="B241" s="34" t="s">
        <v>999</v>
      </c>
      <c r="C241" s="34">
        <v>200</v>
      </c>
      <c r="D241" s="35">
        <v>0.021</v>
      </c>
      <c r="E241" s="41"/>
      <c r="F241" s="79"/>
      <c r="G241" s="32" t="s">
        <v>845</v>
      </c>
      <c r="H241" s="32">
        <v>200</v>
      </c>
      <c r="I241" s="36">
        <v>0.0027</v>
      </c>
    </row>
    <row r="242" spans="1:9" ht="15">
      <c r="A242" s="74"/>
      <c r="B242" s="34" t="s">
        <v>1000</v>
      </c>
      <c r="C242" s="34">
        <v>140</v>
      </c>
      <c r="D242" s="35">
        <v>0.0115</v>
      </c>
      <c r="E242" s="41"/>
      <c r="F242" s="79"/>
      <c r="G242" s="32" t="s">
        <v>847</v>
      </c>
      <c r="H242" s="32">
        <v>210</v>
      </c>
      <c r="I242" s="36">
        <v>0.0037</v>
      </c>
    </row>
    <row r="243" spans="1:9" ht="15">
      <c r="A243" s="74"/>
      <c r="B243" s="34" t="s">
        <v>1001</v>
      </c>
      <c r="C243" s="34">
        <v>140</v>
      </c>
      <c r="D243" s="35">
        <v>0.012</v>
      </c>
      <c r="E243" s="41"/>
      <c r="F243" s="79"/>
      <c r="G243" s="32" t="s">
        <v>846</v>
      </c>
      <c r="H243" s="32">
        <v>185</v>
      </c>
      <c r="I243" s="36">
        <v>0.003</v>
      </c>
    </row>
    <row r="244" spans="1:9" ht="15">
      <c r="A244" s="74"/>
      <c r="B244" s="34" t="s">
        <v>1002</v>
      </c>
      <c r="C244" s="34">
        <v>150</v>
      </c>
      <c r="D244" s="35">
        <f>0.0111+0.0116</f>
        <v>0.022699999999999998</v>
      </c>
      <c r="E244" s="41"/>
      <c r="F244" s="79"/>
      <c r="G244" s="32" t="s">
        <v>848</v>
      </c>
      <c r="H244" s="32">
        <v>180</v>
      </c>
      <c r="I244" s="36">
        <v>0.0041</v>
      </c>
    </row>
    <row r="245" spans="1:9" ht="15">
      <c r="A245" s="74"/>
      <c r="B245" s="34" t="s">
        <v>1003</v>
      </c>
      <c r="C245" s="34">
        <v>150</v>
      </c>
      <c r="D245" s="35">
        <v>0.0118</v>
      </c>
      <c r="E245" s="41"/>
      <c r="F245" s="79"/>
      <c r="G245" s="32" t="s">
        <v>848</v>
      </c>
      <c r="H245" s="32">
        <v>185</v>
      </c>
      <c r="I245" s="36">
        <v>0.0042</v>
      </c>
    </row>
    <row r="246" spans="1:9" ht="15">
      <c r="A246" s="74"/>
      <c r="B246" s="34" t="s">
        <v>1004</v>
      </c>
      <c r="C246" s="34">
        <v>155</v>
      </c>
      <c r="D246" s="35">
        <v>0.0119</v>
      </c>
      <c r="E246" s="41"/>
      <c r="F246" s="79"/>
      <c r="G246" s="32" t="s">
        <v>849</v>
      </c>
      <c r="H246" s="32">
        <v>180</v>
      </c>
      <c r="I246" s="36">
        <v>0.0043</v>
      </c>
    </row>
    <row r="247" spans="1:9" ht="15">
      <c r="A247" s="74"/>
      <c r="B247" s="34" t="s">
        <v>671</v>
      </c>
      <c r="C247" s="34">
        <v>260</v>
      </c>
      <c r="D247" s="35">
        <v>0.0226</v>
      </c>
      <c r="E247" s="41"/>
      <c r="F247" s="79"/>
      <c r="G247" s="32" t="s">
        <v>850</v>
      </c>
      <c r="H247" s="32">
        <v>230</v>
      </c>
      <c r="I247" s="36">
        <v>0.0051</v>
      </c>
    </row>
    <row r="248" spans="1:9" ht="30">
      <c r="A248" s="75"/>
      <c r="B248" s="32" t="s">
        <v>1005</v>
      </c>
      <c r="C248" s="32" t="s">
        <v>1006</v>
      </c>
      <c r="D248" s="36">
        <f>0.0223+0.0223+0.0226+0.0235</f>
        <v>0.0907</v>
      </c>
      <c r="E248" s="41"/>
      <c r="F248" s="79"/>
      <c r="G248" s="32" t="s">
        <v>477</v>
      </c>
      <c r="H248" s="32" t="s">
        <v>792</v>
      </c>
      <c r="I248" s="36">
        <f>0.0074+0.0075+0.0082+0.0089</f>
        <v>0.032</v>
      </c>
    </row>
    <row r="249" spans="1:9" ht="15">
      <c r="A249" s="73" t="s">
        <v>49</v>
      </c>
      <c r="B249" s="32" t="s">
        <v>445</v>
      </c>
      <c r="C249" s="32">
        <v>460</v>
      </c>
      <c r="D249" s="36">
        <v>0.032</v>
      </c>
      <c r="E249" s="41"/>
      <c r="F249" s="79"/>
      <c r="G249" s="34" t="s">
        <v>602</v>
      </c>
      <c r="H249" s="34">
        <v>180</v>
      </c>
      <c r="I249" s="36">
        <v>0.005</v>
      </c>
    </row>
    <row r="250" spans="1:9" ht="15">
      <c r="A250" s="74"/>
      <c r="B250" s="32" t="s">
        <v>596</v>
      </c>
      <c r="C250" s="32">
        <v>195</v>
      </c>
      <c r="D250" s="36">
        <v>0.004</v>
      </c>
      <c r="E250" s="41"/>
      <c r="F250" s="80"/>
      <c r="G250" s="34" t="s">
        <v>580</v>
      </c>
      <c r="H250" s="34">
        <v>350</v>
      </c>
      <c r="I250" s="35">
        <f>0.065</f>
        <v>0.065</v>
      </c>
    </row>
    <row r="251" spans="1:9" ht="18.75" customHeight="1">
      <c r="A251" s="74"/>
      <c r="B251" s="32" t="s">
        <v>507</v>
      </c>
      <c r="C251" s="32">
        <v>435</v>
      </c>
      <c r="D251" s="36">
        <v>0.035</v>
      </c>
      <c r="E251" s="41"/>
      <c r="F251" s="73" t="s">
        <v>9</v>
      </c>
      <c r="G251" s="32" t="s">
        <v>552</v>
      </c>
      <c r="H251" s="32" t="s">
        <v>440</v>
      </c>
      <c r="I251" s="36">
        <v>0.3</v>
      </c>
    </row>
    <row r="252" spans="1:9" ht="15">
      <c r="A252" s="74"/>
      <c r="B252" s="34" t="s">
        <v>785</v>
      </c>
      <c r="C252" s="34" t="s">
        <v>786</v>
      </c>
      <c r="D252" s="35">
        <f>0.048+0.049</f>
        <v>0.097</v>
      </c>
      <c r="E252" s="41"/>
      <c r="F252" s="74"/>
      <c r="G252" s="34" t="s">
        <v>513</v>
      </c>
      <c r="H252" s="34">
        <v>2420</v>
      </c>
      <c r="I252" s="35">
        <v>0.023</v>
      </c>
    </row>
    <row r="253" spans="1:9" ht="15">
      <c r="A253" s="74"/>
      <c r="B253" s="32" t="s">
        <v>590</v>
      </c>
      <c r="C253" s="32">
        <v>205</v>
      </c>
      <c r="D253" s="36">
        <v>0.012</v>
      </c>
      <c r="E253" s="41"/>
      <c r="F253" s="74"/>
      <c r="G253" s="34" t="s">
        <v>1009</v>
      </c>
      <c r="H253" s="34">
        <v>2140</v>
      </c>
      <c r="I253" s="35">
        <v>0.0165</v>
      </c>
    </row>
    <row r="254" spans="1:9" ht="15">
      <c r="A254" s="74"/>
      <c r="B254" s="32" t="s">
        <v>508</v>
      </c>
      <c r="C254" s="32">
        <v>135</v>
      </c>
      <c r="D254" s="36">
        <v>0.0035</v>
      </c>
      <c r="E254" s="41"/>
      <c r="F254" s="74"/>
      <c r="G254" s="34" t="s">
        <v>476</v>
      </c>
      <c r="H254" s="34" t="s">
        <v>440</v>
      </c>
      <c r="I254" s="36">
        <v>0.3</v>
      </c>
    </row>
    <row r="255" spans="1:9" ht="15">
      <c r="A255" s="74"/>
      <c r="B255" s="32" t="s">
        <v>589</v>
      </c>
      <c r="C255" s="32">
        <v>220</v>
      </c>
      <c r="D255" s="36">
        <v>0.011</v>
      </c>
      <c r="E255" s="41"/>
      <c r="F255" s="74"/>
      <c r="G255" s="34" t="s">
        <v>893</v>
      </c>
      <c r="H255" s="34">
        <v>300</v>
      </c>
      <c r="I255" s="36">
        <v>0.0174</v>
      </c>
    </row>
    <row r="256" spans="1:9" ht="15">
      <c r="A256" s="74"/>
      <c r="B256" s="32" t="s">
        <v>586</v>
      </c>
      <c r="C256" s="32">
        <v>220</v>
      </c>
      <c r="D256" s="36">
        <v>0.015</v>
      </c>
      <c r="E256" s="41"/>
      <c r="F256" s="74"/>
      <c r="G256" s="32" t="s">
        <v>588</v>
      </c>
      <c r="H256" s="32">
        <v>250</v>
      </c>
      <c r="I256" s="36">
        <v>0.002</v>
      </c>
    </row>
    <row r="257" spans="1:9" ht="15">
      <c r="A257" s="74"/>
      <c r="B257" s="32" t="s">
        <v>599</v>
      </c>
      <c r="C257" s="32">
        <v>125</v>
      </c>
      <c r="D257" s="36">
        <v>0.005</v>
      </c>
      <c r="E257" s="41"/>
      <c r="F257" s="74"/>
      <c r="G257" s="34" t="s">
        <v>553</v>
      </c>
      <c r="H257" s="34" t="s">
        <v>440</v>
      </c>
      <c r="I257" s="36">
        <v>0.3</v>
      </c>
    </row>
    <row r="258" spans="1:9" ht="15">
      <c r="A258" s="74"/>
      <c r="B258" s="32" t="s">
        <v>587</v>
      </c>
      <c r="C258" s="32">
        <v>225</v>
      </c>
      <c r="D258" s="36">
        <v>0.015</v>
      </c>
      <c r="E258" s="41"/>
      <c r="F258" s="74"/>
      <c r="G258" s="34" t="s">
        <v>569</v>
      </c>
      <c r="H258" s="34" t="s">
        <v>440</v>
      </c>
      <c r="I258" s="35">
        <v>0.5</v>
      </c>
    </row>
    <row r="259" spans="1:9" ht="15">
      <c r="A259" s="74"/>
      <c r="B259" s="34" t="s">
        <v>472</v>
      </c>
      <c r="C259" s="34" t="s">
        <v>473</v>
      </c>
      <c r="D259" s="35">
        <v>0.07</v>
      </c>
      <c r="E259" s="41"/>
      <c r="F259" s="74"/>
      <c r="G259" s="34" t="s">
        <v>951</v>
      </c>
      <c r="H259" s="34">
        <v>435</v>
      </c>
      <c r="I259" s="35">
        <v>0.0085</v>
      </c>
    </row>
    <row r="260" spans="1:9" ht="15">
      <c r="A260" s="74"/>
      <c r="B260" s="34" t="s">
        <v>600</v>
      </c>
      <c r="C260" s="34">
        <v>120</v>
      </c>
      <c r="D260" s="35">
        <v>0.006</v>
      </c>
      <c r="E260" s="41"/>
      <c r="F260" s="74"/>
      <c r="G260" s="34" t="s">
        <v>570</v>
      </c>
      <c r="H260" s="34">
        <v>95</v>
      </c>
      <c r="I260" s="35">
        <v>0.002</v>
      </c>
    </row>
    <row r="261" spans="1:9" ht="15">
      <c r="A261" s="74"/>
      <c r="B261" s="34" t="s">
        <v>461</v>
      </c>
      <c r="C261" s="34">
        <v>470</v>
      </c>
      <c r="D261" s="35">
        <v>0.103</v>
      </c>
      <c r="E261" s="41"/>
      <c r="F261" s="74"/>
      <c r="G261" s="32" t="s">
        <v>585</v>
      </c>
      <c r="H261" s="32">
        <v>210</v>
      </c>
      <c r="I261" s="36">
        <v>0.008</v>
      </c>
    </row>
    <row r="262" spans="1:9" ht="15">
      <c r="A262" s="74"/>
      <c r="B262" s="34" t="s">
        <v>470</v>
      </c>
      <c r="C262" s="34">
        <v>410</v>
      </c>
      <c r="D262" s="35">
        <f>0.017*2</f>
        <v>0.034</v>
      </c>
      <c r="E262" s="41"/>
      <c r="F262" s="74"/>
      <c r="G262" s="32" t="s">
        <v>595</v>
      </c>
      <c r="H262" s="32">
        <v>125</v>
      </c>
      <c r="I262" s="36">
        <v>0.005</v>
      </c>
    </row>
    <row r="263" spans="1:9" ht="15">
      <c r="A263" s="74"/>
      <c r="B263" s="34" t="s">
        <v>787</v>
      </c>
      <c r="C263" s="34">
        <v>550</v>
      </c>
      <c r="D263" s="35">
        <v>0.052</v>
      </c>
      <c r="E263" s="41"/>
      <c r="F263" s="74"/>
      <c r="G263" s="34" t="s">
        <v>829</v>
      </c>
      <c r="H263" s="32">
        <v>135</v>
      </c>
      <c r="I263" s="36">
        <v>0.0065</v>
      </c>
    </row>
    <row r="264" spans="1:9" ht="15">
      <c r="A264" s="74"/>
      <c r="B264" s="34" t="s">
        <v>788</v>
      </c>
      <c r="C264" s="34">
        <v>310</v>
      </c>
      <c r="D264" s="35">
        <v>0.092</v>
      </c>
      <c r="E264" s="41"/>
      <c r="F264" s="74"/>
      <c r="G264" s="32" t="s">
        <v>568</v>
      </c>
      <c r="H264" s="32">
        <v>125</v>
      </c>
      <c r="I264" s="35">
        <v>0.004</v>
      </c>
    </row>
    <row r="265" spans="1:9" ht="15">
      <c r="A265" s="74"/>
      <c r="B265" s="34" t="s">
        <v>597</v>
      </c>
      <c r="C265" s="34">
        <v>205</v>
      </c>
      <c r="D265" s="35">
        <v>0.018</v>
      </c>
      <c r="E265" s="41"/>
      <c r="F265" s="75"/>
      <c r="G265" s="32" t="s">
        <v>600</v>
      </c>
      <c r="H265" s="32">
        <v>210</v>
      </c>
      <c r="I265" s="35">
        <v>0.01</v>
      </c>
    </row>
    <row r="266" spans="1:9" ht="15">
      <c r="A266" s="74"/>
      <c r="B266" s="34" t="s">
        <v>754</v>
      </c>
      <c r="C266" s="34">
        <v>320</v>
      </c>
      <c r="D266" s="35">
        <v>0.098</v>
      </c>
      <c r="E266" s="39"/>
      <c r="F266" s="31" t="s">
        <v>563</v>
      </c>
      <c r="G266" s="34" t="s">
        <v>565</v>
      </c>
      <c r="H266" s="34" t="s">
        <v>566</v>
      </c>
      <c r="I266" s="35">
        <v>0.024</v>
      </c>
    </row>
    <row r="267" spans="1:9" ht="15">
      <c r="A267" s="74"/>
      <c r="B267" s="34" t="s">
        <v>504</v>
      </c>
      <c r="C267" s="34">
        <v>485</v>
      </c>
      <c r="D267" s="35">
        <v>0.117</v>
      </c>
      <c r="E267" s="39"/>
      <c r="F267" s="73" t="s">
        <v>548</v>
      </c>
      <c r="G267" s="32" t="s">
        <v>551</v>
      </c>
      <c r="H267" s="32" t="s">
        <v>727</v>
      </c>
      <c r="I267" s="35">
        <f>0.224-0.011-0.01-0.064-0.012-0.01-0.03-0.01-0.0105-0.0035</f>
        <v>0.06299999999999999</v>
      </c>
    </row>
    <row r="268" spans="1:9" ht="15" customHeight="1">
      <c r="A268" s="75"/>
      <c r="B268" s="42" t="s">
        <v>789</v>
      </c>
      <c r="C268" s="34">
        <v>310</v>
      </c>
      <c r="D268" s="35">
        <v>0.171</v>
      </c>
      <c r="E268" s="39"/>
      <c r="F268" s="74"/>
      <c r="G268" s="34" t="s">
        <v>552</v>
      </c>
      <c r="H268" s="34" t="s">
        <v>662</v>
      </c>
      <c r="I268" s="35">
        <f>0.319-0.018-0.0181</f>
        <v>0.2829</v>
      </c>
    </row>
    <row r="269" spans="1:9" ht="15" customHeight="1">
      <c r="A269" s="73" t="s">
        <v>11</v>
      </c>
      <c r="B269" s="44" t="s">
        <v>660</v>
      </c>
      <c r="C269" s="44">
        <v>205</v>
      </c>
      <c r="D269" s="61">
        <v>0.0056</v>
      </c>
      <c r="E269" s="39"/>
      <c r="F269" s="74"/>
      <c r="G269" s="34" t="s">
        <v>513</v>
      </c>
      <c r="H269" s="34" t="s">
        <v>440</v>
      </c>
      <c r="I269" s="35">
        <v>0.45</v>
      </c>
    </row>
    <row r="270" spans="1:9" ht="15">
      <c r="A270" s="74"/>
      <c r="B270" s="44" t="s">
        <v>870</v>
      </c>
      <c r="C270" s="44">
        <v>590</v>
      </c>
      <c r="D270" s="61">
        <v>0.015</v>
      </c>
      <c r="E270" s="39"/>
      <c r="F270" s="74"/>
      <c r="G270" s="34" t="s">
        <v>476</v>
      </c>
      <c r="H270" s="34" t="s">
        <v>656</v>
      </c>
      <c r="I270" s="35">
        <f>0.279-0.198</f>
        <v>0.08100000000000002</v>
      </c>
    </row>
    <row r="271" spans="1:9" ht="15">
      <c r="A271" s="74"/>
      <c r="B271" s="44" t="s">
        <v>872</v>
      </c>
      <c r="C271" s="44">
        <v>590</v>
      </c>
      <c r="D271" s="61">
        <v>0.019</v>
      </c>
      <c r="E271" s="39"/>
      <c r="F271" s="74"/>
      <c r="G271" s="34" t="s">
        <v>553</v>
      </c>
      <c r="H271" s="34" t="s">
        <v>594</v>
      </c>
      <c r="I271" s="35">
        <v>0.35</v>
      </c>
    </row>
    <row r="272" spans="1:9" ht="15">
      <c r="A272" s="74"/>
      <c r="B272" s="44" t="s">
        <v>659</v>
      </c>
      <c r="C272" s="44" t="s">
        <v>687</v>
      </c>
      <c r="D272" s="61">
        <f>0.0076+0.0105</f>
        <v>0.0181</v>
      </c>
      <c r="E272" s="39"/>
      <c r="F272" s="74"/>
      <c r="G272" s="34" t="s">
        <v>568</v>
      </c>
      <c r="H272" s="34" t="s">
        <v>440</v>
      </c>
      <c r="I272" s="36">
        <v>0.8</v>
      </c>
    </row>
    <row r="273" spans="1:9" ht="15">
      <c r="A273" s="74"/>
      <c r="B273" s="44" t="s">
        <v>665</v>
      </c>
      <c r="C273" s="44">
        <v>200</v>
      </c>
      <c r="D273" s="61">
        <v>0.0127</v>
      </c>
      <c r="E273" s="39"/>
      <c r="F273" s="74"/>
      <c r="G273" s="34" t="s">
        <v>567</v>
      </c>
      <c r="H273" s="34" t="s">
        <v>440</v>
      </c>
      <c r="I273" s="36">
        <v>0.9</v>
      </c>
    </row>
    <row r="274" spans="1:9" ht="15">
      <c r="A274" s="74"/>
      <c r="B274" s="44" t="s">
        <v>658</v>
      </c>
      <c r="C274" s="44">
        <v>120</v>
      </c>
      <c r="D274" s="61">
        <v>0.0067</v>
      </c>
      <c r="E274" s="39"/>
      <c r="F274" s="74"/>
      <c r="G274" s="34" t="s">
        <v>944</v>
      </c>
      <c r="H274" s="34">
        <v>500</v>
      </c>
      <c r="I274" s="36">
        <v>0.072</v>
      </c>
    </row>
    <row r="275" spans="1:9" ht="15">
      <c r="A275" s="74"/>
      <c r="B275" s="44" t="s">
        <v>909</v>
      </c>
      <c r="C275" s="44">
        <v>200</v>
      </c>
      <c r="D275" s="61">
        <v>0.029</v>
      </c>
      <c r="E275" s="39"/>
      <c r="F275" s="75"/>
      <c r="G275" s="32" t="s">
        <v>443</v>
      </c>
      <c r="H275" s="32">
        <v>1500</v>
      </c>
      <c r="I275" s="36">
        <v>0.453</v>
      </c>
    </row>
    <row r="276" spans="1:9" ht="15">
      <c r="A276" s="74"/>
      <c r="B276" s="34" t="s">
        <v>645</v>
      </c>
      <c r="C276" s="34">
        <v>130</v>
      </c>
      <c r="D276" s="35">
        <v>0.011</v>
      </c>
      <c r="E276" s="39"/>
      <c r="F276" s="73" t="s">
        <v>458</v>
      </c>
      <c r="G276" s="34" t="s">
        <v>808</v>
      </c>
      <c r="H276" s="34">
        <v>710</v>
      </c>
      <c r="I276" s="35">
        <v>0.017</v>
      </c>
    </row>
    <row r="277" spans="1:9" ht="15" customHeight="1">
      <c r="A277" s="74"/>
      <c r="B277" s="34" t="s">
        <v>646</v>
      </c>
      <c r="C277" s="34">
        <v>140</v>
      </c>
      <c r="D277" s="35">
        <v>0.018</v>
      </c>
      <c r="E277" s="39"/>
      <c r="F277" s="74"/>
      <c r="G277" s="34" t="s">
        <v>726</v>
      </c>
      <c r="H277" s="34">
        <v>700</v>
      </c>
      <c r="I277" s="35">
        <f>0.021</f>
        <v>0.021</v>
      </c>
    </row>
    <row r="278" spans="1:9" ht="15">
      <c r="A278" s="74"/>
      <c r="B278" s="34" t="s">
        <v>708</v>
      </c>
      <c r="C278" s="34">
        <v>180</v>
      </c>
      <c r="D278" s="35">
        <v>0.062</v>
      </c>
      <c r="E278" s="39"/>
      <c r="F278" s="74"/>
      <c r="G278" s="32" t="s">
        <v>572</v>
      </c>
      <c r="H278" s="34" t="s">
        <v>866</v>
      </c>
      <c r="I278" s="35">
        <f>0.164+0.195</f>
        <v>0.359</v>
      </c>
    </row>
    <row r="279" spans="1:9" ht="15">
      <c r="A279" s="74"/>
      <c r="B279" s="34" t="s">
        <v>871</v>
      </c>
      <c r="C279" s="34">
        <v>200</v>
      </c>
      <c r="D279" s="35">
        <v>0.054</v>
      </c>
      <c r="E279" s="39"/>
      <c r="F279" s="74"/>
      <c r="G279" s="32" t="s">
        <v>942</v>
      </c>
      <c r="H279" s="34">
        <v>1570</v>
      </c>
      <c r="I279" s="35">
        <v>0.515</v>
      </c>
    </row>
    <row r="280" spans="1:9" ht="15">
      <c r="A280" s="74"/>
      <c r="B280" s="44" t="s">
        <v>657</v>
      </c>
      <c r="C280" s="44">
        <v>105</v>
      </c>
      <c r="D280" s="61">
        <v>0.03</v>
      </c>
      <c r="E280" s="39"/>
      <c r="F280" s="74"/>
      <c r="G280" s="32" t="s">
        <v>1022</v>
      </c>
      <c r="H280" s="34">
        <v>450</v>
      </c>
      <c r="I280" s="35">
        <v>0.122</v>
      </c>
    </row>
    <row r="281" spans="1:9" ht="15" customHeight="1">
      <c r="A281" s="75"/>
      <c r="B281" s="44" t="s">
        <v>864</v>
      </c>
      <c r="C281" s="44">
        <v>1000</v>
      </c>
      <c r="D281" s="61">
        <v>0.68</v>
      </c>
      <c r="E281" s="39"/>
      <c r="F281" s="74"/>
      <c r="G281" s="32" t="s">
        <v>927</v>
      </c>
      <c r="H281" s="34">
        <v>495</v>
      </c>
      <c r="I281" s="35">
        <v>0.142</v>
      </c>
    </row>
    <row r="282" spans="1:9" ht="15">
      <c r="A282" s="73" t="s">
        <v>455</v>
      </c>
      <c r="B282" s="32" t="s">
        <v>623</v>
      </c>
      <c r="C282" s="32">
        <v>205</v>
      </c>
      <c r="D282" s="36">
        <v>0.008</v>
      </c>
      <c r="E282" s="39"/>
      <c r="F282" s="74"/>
      <c r="G282" s="34" t="s">
        <v>504</v>
      </c>
      <c r="H282" s="34">
        <v>680</v>
      </c>
      <c r="I282" s="35">
        <f>0.166</f>
        <v>0.166</v>
      </c>
    </row>
    <row r="283" spans="1:9" ht="15" customHeight="1">
      <c r="A283" s="74"/>
      <c r="B283" s="32" t="s">
        <v>622</v>
      </c>
      <c r="C283" s="32">
        <v>210</v>
      </c>
      <c r="D283" s="36">
        <v>0.013</v>
      </c>
      <c r="E283" s="39"/>
      <c r="F283" s="74"/>
      <c r="G283" s="34" t="s">
        <v>887</v>
      </c>
      <c r="H283" s="34" t="s">
        <v>440</v>
      </c>
      <c r="I283" s="35">
        <v>0.314</v>
      </c>
    </row>
    <row r="284" spans="1:9" ht="15" customHeight="1">
      <c r="A284" s="74"/>
      <c r="B284" s="34" t="s">
        <v>522</v>
      </c>
      <c r="C284" s="34">
        <v>300</v>
      </c>
      <c r="D284" s="35">
        <f>0.06+0.062+0.062</f>
        <v>0.184</v>
      </c>
      <c r="E284" s="39"/>
      <c r="F284" s="75"/>
      <c r="G284" s="34" t="s">
        <v>543</v>
      </c>
      <c r="H284" s="34" t="s">
        <v>440</v>
      </c>
      <c r="I284" s="35">
        <v>0.368</v>
      </c>
    </row>
    <row r="285" spans="1:9" ht="15">
      <c r="A285" s="74"/>
      <c r="B285" s="32" t="s">
        <v>620</v>
      </c>
      <c r="C285" s="32">
        <v>180</v>
      </c>
      <c r="D285" s="36">
        <v>0.021</v>
      </c>
      <c r="E285" s="39"/>
      <c r="F285" s="73" t="s">
        <v>8</v>
      </c>
      <c r="G285" s="34" t="s">
        <v>880</v>
      </c>
      <c r="H285" s="34">
        <v>1910</v>
      </c>
      <c r="I285" s="35">
        <v>1.257</v>
      </c>
    </row>
    <row r="286" spans="1:9" ht="15">
      <c r="A286" s="75"/>
      <c r="B286" s="34" t="s">
        <v>714</v>
      </c>
      <c r="C286" s="34">
        <v>1600</v>
      </c>
      <c r="D286" s="35">
        <v>0.385</v>
      </c>
      <c r="E286" s="39"/>
      <c r="F286" s="74"/>
      <c r="G286" s="34" t="s">
        <v>898</v>
      </c>
      <c r="H286" s="34">
        <v>460</v>
      </c>
      <c r="I286" s="35">
        <v>0.0215</v>
      </c>
    </row>
    <row r="287" spans="1:9" ht="15">
      <c r="A287" s="73" t="s">
        <v>7</v>
      </c>
      <c r="B287" s="32" t="s">
        <v>675</v>
      </c>
      <c r="C287" s="32">
        <v>330</v>
      </c>
      <c r="D287" s="36">
        <v>0.0049</v>
      </c>
      <c r="E287" s="39"/>
      <c r="F287" s="74"/>
      <c r="G287" s="34" t="s">
        <v>899</v>
      </c>
      <c r="H287" s="34">
        <v>270</v>
      </c>
      <c r="I287" s="35">
        <v>0.014</v>
      </c>
    </row>
    <row r="288" spans="1:9" ht="15">
      <c r="A288" s="74"/>
      <c r="B288" s="32" t="s">
        <v>874</v>
      </c>
      <c r="C288" s="32">
        <v>250</v>
      </c>
      <c r="D288" s="36">
        <v>0.0092</v>
      </c>
      <c r="E288" s="39"/>
      <c r="F288" s="74"/>
      <c r="G288" s="34" t="s">
        <v>881</v>
      </c>
      <c r="H288" s="34" t="s">
        <v>440</v>
      </c>
      <c r="I288" s="35">
        <v>0.564</v>
      </c>
    </row>
    <row r="289" spans="1:9" ht="15">
      <c r="A289" s="74"/>
      <c r="B289" s="32" t="s">
        <v>681</v>
      </c>
      <c r="C289" s="32">
        <v>250</v>
      </c>
      <c r="D289" s="36">
        <f>0.0092+0.0027</f>
        <v>0.0119</v>
      </c>
      <c r="E289" s="39"/>
      <c r="F289" s="74"/>
      <c r="G289" s="34" t="s">
        <v>883</v>
      </c>
      <c r="H289" s="34" t="s">
        <v>884</v>
      </c>
      <c r="I289" s="35">
        <v>0.855</v>
      </c>
    </row>
    <row r="290" spans="1:9" ht="15">
      <c r="A290" s="74"/>
      <c r="B290" s="32" t="s">
        <v>674</v>
      </c>
      <c r="C290" s="32">
        <v>270</v>
      </c>
      <c r="D290" s="36">
        <v>0.0051</v>
      </c>
      <c r="E290" s="39"/>
      <c r="F290" s="74"/>
      <c r="G290" s="34" t="s">
        <v>882</v>
      </c>
      <c r="H290" s="34">
        <v>1510</v>
      </c>
      <c r="I290" s="35">
        <v>0.25</v>
      </c>
    </row>
    <row r="291" spans="1:9" ht="15">
      <c r="A291" s="74"/>
      <c r="B291" s="32" t="s">
        <v>683</v>
      </c>
      <c r="C291" s="32">
        <v>270</v>
      </c>
      <c r="D291" s="36">
        <v>0.0023</v>
      </c>
      <c r="E291" s="39"/>
      <c r="F291" s="74"/>
      <c r="G291" s="34" t="s">
        <v>885</v>
      </c>
      <c r="H291" s="34">
        <v>1800</v>
      </c>
      <c r="I291" s="35">
        <v>0.535</v>
      </c>
    </row>
    <row r="292" spans="1:9" ht="15">
      <c r="A292" s="74"/>
      <c r="B292" s="32" t="s">
        <v>873</v>
      </c>
      <c r="C292" s="32">
        <v>300</v>
      </c>
      <c r="D292" s="36">
        <v>0.0014</v>
      </c>
      <c r="E292" s="39"/>
      <c r="F292" s="74"/>
      <c r="G292" s="34" t="s">
        <v>886</v>
      </c>
      <c r="H292" s="34">
        <v>1800</v>
      </c>
      <c r="I292" s="35">
        <v>1.21</v>
      </c>
    </row>
    <row r="293" spans="1:9" ht="15">
      <c r="A293" s="74"/>
      <c r="B293" s="32" t="s">
        <v>680</v>
      </c>
      <c r="C293" s="32" t="s">
        <v>682</v>
      </c>
      <c r="D293" s="36">
        <f>0.0048+0.008</f>
        <v>0.012799999999999999</v>
      </c>
      <c r="E293" s="39"/>
      <c r="F293" s="74"/>
      <c r="G293" s="32" t="s">
        <v>694</v>
      </c>
      <c r="H293" s="32">
        <v>250</v>
      </c>
      <c r="I293" s="36">
        <v>0.055</v>
      </c>
    </row>
    <row r="294" spans="1:9" ht="15">
      <c r="A294" s="74"/>
      <c r="B294" s="32" t="s">
        <v>672</v>
      </c>
      <c r="C294" s="32">
        <v>260</v>
      </c>
      <c r="D294" s="35">
        <v>0.035</v>
      </c>
      <c r="E294" s="39"/>
      <c r="F294" s="74"/>
      <c r="G294" s="32" t="s">
        <v>695</v>
      </c>
      <c r="H294" s="32">
        <v>300</v>
      </c>
      <c r="I294" s="36">
        <v>0.066</v>
      </c>
    </row>
    <row r="295" spans="1:9" ht="15">
      <c r="A295" s="74"/>
      <c r="B295" s="34" t="s">
        <v>583</v>
      </c>
      <c r="C295" s="34">
        <v>600</v>
      </c>
      <c r="D295" s="35">
        <v>0.019</v>
      </c>
      <c r="E295" s="39"/>
      <c r="F295" s="74"/>
      <c r="G295" s="32" t="s">
        <v>696</v>
      </c>
      <c r="H295" s="32">
        <v>210</v>
      </c>
      <c r="I295" s="36">
        <v>0.058</v>
      </c>
    </row>
    <row r="296" spans="1:9" ht="15">
      <c r="A296" s="74"/>
      <c r="B296" s="34" t="s">
        <v>484</v>
      </c>
      <c r="C296" s="34">
        <v>190</v>
      </c>
      <c r="D296" s="35">
        <v>0.013</v>
      </c>
      <c r="E296" s="39"/>
      <c r="F296" s="74"/>
      <c r="G296" s="32" t="s">
        <v>582</v>
      </c>
      <c r="H296" s="32">
        <v>330</v>
      </c>
      <c r="I296" s="36">
        <v>0.064</v>
      </c>
    </row>
    <row r="297" spans="1:9" ht="15">
      <c r="A297" s="74"/>
      <c r="B297" s="34" t="s">
        <v>618</v>
      </c>
      <c r="C297" s="34">
        <v>270</v>
      </c>
      <c r="D297" s="35">
        <v>0.0112</v>
      </c>
      <c r="E297" s="39"/>
      <c r="F297" s="74"/>
      <c r="G297" s="32" t="s">
        <v>887</v>
      </c>
      <c r="H297" s="34" t="s">
        <v>440</v>
      </c>
      <c r="I297" s="36">
        <v>0.324</v>
      </c>
    </row>
    <row r="298" spans="1:9" ht="15">
      <c r="A298" s="74"/>
      <c r="B298" s="34" t="s">
        <v>626</v>
      </c>
      <c r="C298" s="34">
        <v>350</v>
      </c>
      <c r="D298" s="35">
        <v>0.038</v>
      </c>
      <c r="E298" s="39"/>
      <c r="F298" s="74"/>
      <c r="G298" s="34" t="s">
        <v>543</v>
      </c>
      <c r="H298" s="34" t="s">
        <v>440</v>
      </c>
      <c r="I298" s="35">
        <v>0.368</v>
      </c>
    </row>
    <row r="299" spans="1:9" ht="15">
      <c r="A299" s="74"/>
      <c r="B299" s="34" t="s">
        <v>876</v>
      </c>
      <c r="C299" s="34">
        <v>650</v>
      </c>
      <c r="D299" s="35">
        <v>0.16</v>
      </c>
      <c r="E299" s="39"/>
      <c r="F299" s="75"/>
      <c r="G299" s="34" t="s">
        <v>868</v>
      </c>
      <c r="H299" s="34" t="s">
        <v>440</v>
      </c>
      <c r="I299" s="35">
        <v>0.404</v>
      </c>
    </row>
    <row r="300" spans="1:9" ht="15">
      <c r="A300" s="74"/>
      <c r="B300" s="34" t="s">
        <v>875</v>
      </c>
      <c r="C300" s="34">
        <v>345</v>
      </c>
      <c r="D300" s="35">
        <v>0.056</v>
      </c>
      <c r="E300" s="39"/>
      <c r="F300" s="9" t="s">
        <v>878</v>
      </c>
      <c r="G300" s="34" t="s">
        <v>879</v>
      </c>
      <c r="H300" s="34">
        <v>1700</v>
      </c>
      <c r="I300" s="35">
        <v>0.21</v>
      </c>
    </row>
    <row r="301" spans="1:9" ht="18.75" customHeight="1">
      <c r="A301" s="74"/>
      <c r="B301" s="34" t="s">
        <v>486</v>
      </c>
      <c r="C301" s="34">
        <v>265</v>
      </c>
      <c r="D301" s="35">
        <v>0.026</v>
      </c>
      <c r="E301" s="39"/>
      <c r="F301" s="73" t="s">
        <v>469</v>
      </c>
      <c r="G301" s="34" t="s">
        <v>571</v>
      </c>
      <c r="H301" s="34">
        <v>105</v>
      </c>
      <c r="I301" s="35">
        <f>0.003</f>
        <v>0.003</v>
      </c>
    </row>
    <row r="302" spans="1:9" ht="15">
      <c r="A302" s="74"/>
      <c r="B302" s="34" t="s">
        <v>625</v>
      </c>
      <c r="C302" s="34">
        <v>345</v>
      </c>
      <c r="D302" s="35">
        <v>0.035</v>
      </c>
      <c r="E302" s="39"/>
      <c r="F302" s="74"/>
      <c r="G302" s="32" t="s">
        <v>618</v>
      </c>
      <c r="H302" s="32">
        <v>215</v>
      </c>
      <c r="I302" s="36">
        <v>0.008</v>
      </c>
    </row>
    <row r="303" spans="1:9" ht="15">
      <c r="A303" s="74"/>
      <c r="B303" s="34" t="s">
        <v>673</v>
      </c>
      <c r="C303" s="34">
        <v>330</v>
      </c>
      <c r="D303" s="35">
        <v>0.025</v>
      </c>
      <c r="E303" s="39"/>
      <c r="F303" s="75"/>
      <c r="G303" s="32" t="s">
        <v>482</v>
      </c>
      <c r="H303" s="34">
        <v>4640</v>
      </c>
      <c r="I303" s="35">
        <f>0.295</f>
        <v>0.295</v>
      </c>
    </row>
    <row r="304" spans="1:9" ht="15">
      <c r="A304" s="74"/>
      <c r="B304" s="34" t="s">
        <v>671</v>
      </c>
      <c r="C304" s="34">
        <v>265</v>
      </c>
      <c r="D304" s="35">
        <v>0.028</v>
      </c>
      <c r="E304" s="39"/>
      <c r="F304" s="37" t="s">
        <v>520</v>
      </c>
      <c r="G304" s="34" t="s">
        <v>550</v>
      </c>
      <c r="H304" s="34">
        <v>1755</v>
      </c>
      <c r="I304" s="35">
        <v>0.15</v>
      </c>
    </row>
    <row r="305" spans="1:9" ht="15" customHeight="1">
      <c r="A305" s="74"/>
      <c r="B305" s="34" t="s">
        <v>669</v>
      </c>
      <c r="C305" s="34">
        <v>300</v>
      </c>
      <c r="D305" s="35">
        <v>0.035</v>
      </c>
      <c r="E305" s="39"/>
      <c r="F305" s="9" t="s">
        <v>404</v>
      </c>
      <c r="G305" s="34" t="s">
        <v>483</v>
      </c>
      <c r="H305" s="34">
        <v>320</v>
      </c>
      <c r="I305" s="35">
        <v>0.024</v>
      </c>
    </row>
    <row r="306" spans="1:9" ht="15" customHeight="1">
      <c r="A306" s="74"/>
      <c r="B306" s="34" t="s">
        <v>679</v>
      </c>
      <c r="C306" s="34">
        <v>200</v>
      </c>
      <c r="D306" s="35">
        <v>0.034</v>
      </c>
      <c r="E306" s="39"/>
      <c r="F306" s="9" t="s">
        <v>363</v>
      </c>
      <c r="G306" s="34" t="s">
        <v>763</v>
      </c>
      <c r="H306" s="34">
        <v>340</v>
      </c>
      <c r="I306" s="35">
        <v>0.0112</v>
      </c>
    </row>
    <row r="307" spans="1:9" ht="15" customHeight="1">
      <c r="A307" s="74"/>
      <c r="B307" s="34" t="s">
        <v>858</v>
      </c>
      <c r="C307" s="34">
        <v>170</v>
      </c>
      <c r="D307" s="35">
        <v>0.029</v>
      </c>
      <c r="E307" s="39"/>
      <c r="F307" s="9" t="s">
        <v>717</v>
      </c>
      <c r="G307" s="34" t="s">
        <v>718</v>
      </c>
      <c r="H307" s="34">
        <v>2500</v>
      </c>
      <c r="I307" s="35">
        <v>4.5</v>
      </c>
    </row>
    <row r="308" spans="1:9" ht="15">
      <c r="A308" s="74"/>
      <c r="B308" s="32" t="s">
        <v>627</v>
      </c>
      <c r="C308" s="32">
        <v>275</v>
      </c>
      <c r="D308" s="36">
        <v>0.059</v>
      </c>
      <c r="E308" s="39"/>
      <c r="F308" s="73" t="s">
        <v>52</v>
      </c>
      <c r="G308" s="34" t="s">
        <v>797</v>
      </c>
      <c r="H308" s="34">
        <v>530</v>
      </c>
      <c r="I308" s="35">
        <v>0.055</v>
      </c>
    </row>
    <row r="309" spans="1:9" ht="15">
      <c r="A309" s="74"/>
      <c r="B309" s="32" t="s">
        <v>954</v>
      </c>
      <c r="C309" s="32">
        <v>750</v>
      </c>
      <c r="D309" s="36">
        <v>0.387</v>
      </c>
      <c r="E309" s="39"/>
      <c r="F309" s="75"/>
      <c r="G309" s="32" t="s">
        <v>584</v>
      </c>
      <c r="H309" s="32">
        <v>650</v>
      </c>
      <c r="I309" s="36">
        <v>0.546</v>
      </c>
    </row>
    <row r="310" spans="1:9" ht="15">
      <c r="A310" s="74"/>
      <c r="B310" s="32" t="s">
        <v>670</v>
      </c>
      <c r="C310" s="32">
        <v>360</v>
      </c>
      <c r="D310" s="36">
        <v>0.051</v>
      </c>
      <c r="E310" s="39"/>
      <c r="F310" s="37" t="s">
        <v>528</v>
      </c>
      <c r="G310" s="34" t="s">
        <v>527</v>
      </c>
      <c r="H310" s="34">
        <v>1240</v>
      </c>
      <c r="I310" s="35">
        <v>0.245</v>
      </c>
    </row>
    <row r="311" spans="1:9" ht="15">
      <c r="A311" s="74"/>
      <c r="B311" s="32" t="s">
        <v>678</v>
      </c>
      <c r="C311" s="32">
        <v>210</v>
      </c>
      <c r="D311" s="36">
        <v>0.041</v>
      </c>
      <c r="E311" s="39"/>
      <c r="F311" s="73" t="s">
        <v>442</v>
      </c>
      <c r="G311" s="34" t="s">
        <v>805</v>
      </c>
      <c r="H311" s="34">
        <v>1250</v>
      </c>
      <c r="I311" s="35">
        <v>0.011</v>
      </c>
    </row>
    <row r="312" spans="1:9" ht="15">
      <c r="A312" s="74"/>
      <c r="B312" s="32" t="s">
        <v>715</v>
      </c>
      <c r="C312" s="32">
        <v>675</v>
      </c>
      <c r="D312" s="36">
        <v>0.42</v>
      </c>
      <c r="E312" s="39"/>
      <c r="F312" s="74"/>
      <c r="G312" s="34" t="s">
        <v>810</v>
      </c>
      <c r="H312" s="34">
        <v>1270</v>
      </c>
      <c r="I312" s="35">
        <v>0.004</v>
      </c>
    </row>
    <row r="313" spans="1:9" ht="15">
      <c r="A313" s="74"/>
      <c r="B313" s="34" t="s">
        <v>628</v>
      </c>
      <c r="C313" s="34">
        <v>300</v>
      </c>
      <c r="D313" s="35">
        <v>0.178</v>
      </c>
      <c r="E313" s="39"/>
      <c r="F313" s="74"/>
      <c r="G313" s="34" t="s">
        <v>807</v>
      </c>
      <c r="H313" s="34">
        <v>460</v>
      </c>
      <c r="I313" s="35">
        <v>0.007</v>
      </c>
    </row>
    <row r="314" spans="1:9" ht="15">
      <c r="A314" s="74"/>
      <c r="B314" s="32" t="s">
        <v>495</v>
      </c>
      <c r="C314" s="32" t="s">
        <v>877</v>
      </c>
      <c r="D314" s="36">
        <f>0.089+0.157</f>
        <v>0.246</v>
      </c>
      <c r="E314" s="39"/>
      <c r="F314" s="74"/>
      <c r="G314" s="34" t="s">
        <v>802</v>
      </c>
      <c r="H314" s="34">
        <v>740</v>
      </c>
      <c r="I314" s="35">
        <v>0.013</v>
      </c>
    </row>
    <row r="315" spans="1:9" ht="15" customHeight="1">
      <c r="A315" s="74"/>
      <c r="B315" s="32" t="s">
        <v>953</v>
      </c>
      <c r="C315" s="32">
        <v>415</v>
      </c>
      <c r="D315" s="36">
        <v>0.31</v>
      </c>
      <c r="E315" s="39"/>
      <c r="F315" s="74"/>
      <c r="G315" s="34" t="s">
        <v>919</v>
      </c>
      <c r="H315" s="34">
        <v>1360</v>
      </c>
      <c r="I315" s="35">
        <v>0.054</v>
      </c>
    </row>
    <row r="316" spans="1:9" ht="15" customHeight="1">
      <c r="A316" s="75"/>
      <c r="B316" s="32" t="s">
        <v>952</v>
      </c>
      <c r="C316" s="32">
        <v>575</v>
      </c>
      <c r="D316" s="36">
        <v>0.65</v>
      </c>
      <c r="E316" s="39"/>
      <c r="F316" s="74"/>
      <c r="G316" s="34" t="s">
        <v>806</v>
      </c>
      <c r="H316" s="34">
        <v>1250</v>
      </c>
      <c r="I316" s="35">
        <v>0.045</v>
      </c>
    </row>
    <row r="317" spans="1:9" ht="15">
      <c r="A317" s="31" t="s">
        <v>558</v>
      </c>
      <c r="B317" s="32" t="s">
        <v>559</v>
      </c>
      <c r="C317" s="32">
        <v>720</v>
      </c>
      <c r="D317" s="36">
        <v>0.385</v>
      </c>
      <c r="E317" s="39"/>
      <c r="F317" s="74"/>
      <c r="G317" s="34" t="s">
        <v>800</v>
      </c>
      <c r="H317" s="34">
        <v>480</v>
      </c>
      <c r="I317" s="35">
        <v>0.006</v>
      </c>
    </row>
    <row r="318" spans="1:9" ht="15">
      <c r="A318" s="73" t="s">
        <v>63</v>
      </c>
      <c r="B318" s="34" t="s">
        <v>621</v>
      </c>
      <c r="C318" s="32">
        <v>285</v>
      </c>
      <c r="D318" s="36">
        <v>0.014</v>
      </c>
      <c r="E318" s="39"/>
      <c r="F318" s="74"/>
      <c r="G318" s="34" t="s">
        <v>803</v>
      </c>
      <c r="H318" s="34">
        <v>400</v>
      </c>
      <c r="I318" s="35">
        <v>0.006</v>
      </c>
    </row>
    <row r="319" spans="1:9" ht="15">
      <c r="A319" s="75"/>
      <c r="B319" s="34" t="s">
        <v>707</v>
      </c>
      <c r="C319" s="32">
        <v>205</v>
      </c>
      <c r="D319" s="36">
        <v>0.047</v>
      </c>
      <c r="E319" s="39"/>
      <c r="F319" s="74"/>
      <c r="G319" s="34" t="s">
        <v>799</v>
      </c>
      <c r="H319" s="34">
        <v>1000</v>
      </c>
      <c r="I319" s="35">
        <v>0.038</v>
      </c>
    </row>
    <row r="320" spans="1:9" ht="15">
      <c r="A320" s="9" t="s">
        <v>60</v>
      </c>
      <c r="B320" s="34" t="s">
        <v>480</v>
      </c>
      <c r="C320" s="34">
        <v>250</v>
      </c>
      <c r="D320" s="35">
        <v>0.063</v>
      </c>
      <c r="E320" s="39"/>
      <c r="F320" s="74"/>
      <c r="G320" s="34" t="s">
        <v>801</v>
      </c>
      <c r="H320" s="34">
        <v>850</v>
      </c>
      <c r="I320" s="35">
        <v>0.01</v>
      </c>
    </row>
    <row r="321" spans="1:9" ht="15">
      <c r="A321" s="9" t="s">
        <v>481</v>
      </c>
      <c r="B321" s="34" t="s">
        <v>653</v>
      </c>
      <c r="C321" s="34">
        <v>230</v>
      </c>
      <c r="D321" s="35">
        <v>0.045</v>
      </c>
      <c r="E321" s="39"/>
      <c r="F321" s="74"/>
      <c r="G321" s="34" t="s">
        <v>809</v>
      </c>
      <c r="H321" s="34">
        <v>560</v>
      </c>
      <c r="I321" s="35">
        <v>0.012</v>
      </c>
    </row>
    <row r="322" spans="1:9" ht="15" customHeight="1">
      <c r="A322" s="73" t="s">
        <v>349</v>
      </c>
      <c r="B322" s="34" t="s">
        <v>530</v>
      </c>
      <c r="C322" s="34">
        <v>390</v>
      </c>
      <c r="D322" s="35">
        <v>0.448</v>
      </c>
      <c r="E322" s="39"/>
      <c r="F322" s="74"/>
      <c r="G322" s="42" t="s">
        <v>804</v>
      </c>
      <c r="H322" s="42">
        <v>1000</v>
      </c>
      <c r="I322" s="52">
        <v>0.016</v>
      </c>
    </row>
    <row r="323" spans="1:9" ht="15">
      <c r="A323" s="75"/>
      <c r="B323" s="34" t="s">
        <v>531</v>
      </c>
      <c r="C323" s="34">
        <v>490</v>
      </c>
      <c r="D323" s="35">
        <v>0.47</v>
      </c>
      <c r="E323" s="39"/>
      <c r="F323" s="74"/>
      <c r="G323" s="34" t="s">
        <v>929</v>
      </c>
      <c r="H323" s="34">
        <v>1000</v>
      </c>
      <c r="I323" s="35">
        <f>0.044</f>
        <v>0.044</v>
      </c>
    </row>
    <row r="324" spans="1:9" ht="15">
      <c r="A324" s="73" t="s">
        <v>466</v>
      </c>
      <c r="B324" s="32" t="s">
        <v>467</v>
      </c>
      <c r="C324" s="32">
        <v>280</v>
      </c>
      <c r="D324" s="36">
        <v>0.079</v>
      </c>
      <c r="E324" s="39"/>
      <c r="F324" s="74"/>
      <c r="G324" s="32" t="s">
        <v>631</v>
      </c>
      <c r="H324" s="32">
        <v>730</v>
      </c>
      <c r="I324" s="36">
        <v>0.022</v>
      </c>
    </row>
    <row r="325" spans="1:9" ht="15">
      <c r="A325" s="75"/>
      <c r="B325" s="34" t="s">
        <v>716</v>
      </c>
      <c r="C325" s="34">
        <v>810</v>
      </c>
      <c r="D325" s="35">
        <v>1.06</v>
      </c>
      <c r="E325" s="39"/>
      <c r="F325" s="74"/>
      <c r="G325" s="34" t="s">
        <v>723</v>
      </c>
      <c r="H325" s="32">
        <v>250</v>
      </c>
      <c r="I325" s="36">
        <v>0.004</v>
      </c>
    </row>
    <row r="326" spans="1:9" ht="15">
      <c r="A326" s="73" t="s">
        <v>347</v>
      </c>
      <c r="B326" s="34" t="s">
        <v>715</v>
      </c>
      <c r="C326" s="34">
        <v>670</v>
      </c>
      <c r="D326" s="35">
        <v>0.355</v>
      </c>
      <c r="E326" s="39"/>
      <c r="F326" s="74"/>
      <c r="G326" s="34" t="s">
        <v>468</v>
      </c>
      <c r="H326" s="32">
        <v>405</v>
      </c>
      <c r="I326" s="36">
        <v>0.022</v>
      </c>
    </row>
    <row r="327" spans="1:9" ht="15">
      <c r="A327" s="75"/>
      <c r="B327" s="34" t="s">
        <v>443</v>
      </c>
      <c r="C327" s="34">
        <v>3210</v>
      </c>
      <c r="D327" s="35">
        <v>1.02</v>
      </c>
      <c r="E327" s="39"/>
      <c r="F327" s="74"/>
      <c r="G327" s="34" t="s">
        <v>598</v>
      </c>
      <c r="H327" s="32">
        <v>130</v>
      </c>
      <c r="I327" s="36">
        <v>0.0075</v>
      </c>
    </row>
    <row r="328" spans="1:9" ht="15">
      <c r="A328" s="73" t="s">
        <v>4</v>
      </c>
      <c r="B328" s="32" t="s">
        <v>761</v>
      </c>
      <c r="C328" s="32" t="s">
        <v>762</v>
      </c>
      <c r="D328" s="36">
        <v>0.004</v>
      </c>
      <c r="E328" s="39"/>
      <c r="F328" s="74"/>
      <c r="G328" s="34" t="s">
        <v>667</v>
      </c>
      <c r="H328" s="32">
        <v>480</v>
      </c>
      <c r="I328" s="36">
        <v>0.049</v>
      </c>
    </row>
    <row r="329" spans="1:9" ht="15">
      <c r="A329" s="74"/>
      <c r="B329" s="34" t="s">
        <v>784</v>
      </c>
      <c r="C329" s="34">
        <v>515</v>
      </c>
      <c r="D329" s="35">
        <v>0.025</v>
      </c>
      <c r="E329" s="39"/>
      <c r="F329" s="74"/>
      <c r="G329" s="34" t="s">
        <v>617</v>
      </c>
      <c r="H329" s="32">
        <v>740</v>
      </c>
      <c r="I329" s="36">
        <v>0.104</v>
      </c>
    </row>
    <row r="330" spans="1:9" ht="15">
      <c r="A330" s="74"/>
      <c r="B330" s="34" t="s">
        <v>907</v>
      </c>
      <c r="C330" s="34" t="s">
        <v>906</v>
      </c>
      <c r="D330" s="35">
        <v>0.0135</v>
      </c>
      <c r="E330" s="39"/>
      <c r="F330" s="74"/>
      <c r="G330" s="42" t="s">
        <v>661</v>
      </c>
      <c r="H330" s="42">
        <v>610</v>
      </c>
      <c r="I330" s="52">
        <v>0.13</v>
      </c>
    </row>
    <row r="331" spans="1:9" ht="15">
      <c r="A331" s="74"/>
      <c r="B331" s="34" t="s">
        <v>908</v>
      </c>
      <c r="C331" s="34">
        <v>140</v>
      </c>
      <c r="D331" s="35">
        <v>0.0055</v>
      </c>
      <c r="E331" s="39"/>
      <c r="F331" s="74"/>
      <c r="G331" s="32" t="s">
        <v>494</v>
      </c>
      <c r="H331" s="32">
        <v>500</v>
      </c>
      <c r="I331" s="35">
        <v>0.098</v>
      </c>
    </row>
    <row r="332" spans="1:9" ht="15">
      <c r="A332" s="75"/>
      <c r="B332" s="34" t="s">
        <v>693</v>
      </c>
      <c r="C332" s="34">
        <v>235</v>
      </c>
      <c r="D332" s="35">
        <v>0.0122</v>
      </c>
      <c r="E332" s="55"/>
      <c r="F332" s="74"/>
      <c r="G332" s="42" t="s">
        <v>512</v>
      </c>
      <c r="H332" s="42" t="s">
        <v>711</v>
      </c>
      <c r="I332" s="52">
        <v>0.166</v>
      </c>
    </row>
    <row r="333" spans="1:9" ht="15">
      <c r="A333" s="73" t="s">
        <v>576</v>
      </c>
      <c r="B333" s="32" t="s">
        <v>763</v>
      </c>
      <c r="C333" s="32">
        <v>340</v>
      </c>
      <c r="D333" s="36">
        <f>0.0111+0.0111</f>
        <v>0.0222</v>
      </c>
      <c r="F333" s="75"/>
      <c r="G333" s="34" t="s">
        <v>773</v>
      </c>
      <c r="H333" s="34">
        <v>320</v>
      </c>
      <c r="I333" s="36">
        <v>0.288</v>
      </c>
    </row>
    <row r="334" spans="1:9" ht="15">
      <c r="A334" s="75"/>
      <c r="B334" s="32" t="s">
        <v>764</v>
      </c>
      <c r="C334" s="32">
        <v>290</v>
      </c>
      <c r="D334" s="36">
        <v>0.0091</v>
      </c>
      <c r="F334" s="37" t="s">
        <v>647</v>
      </c>
      <c r="G334" s="34" t="s">
        <v>511</v>
      </c>
      <c r="H334" s="34">
        <v>1415</v>
      </c>
      <c r="I334" s="35">
        <v>0.7</v>
      </c>
    </row>
    <row r="335" spans="1:9" ht="15">
      <c r="A335" s="9" t="s">
        <v>965</v>
      </c>
      <c r="B335" s="34" t="s">
        <v>958</v>
      </c>
      <c r="C335" s="34">
        <v>3075</v>
      </c>
      <c r="D335" s="35">
        <v>0.008</v>
      </c>
      <c r="F335" s="9" t="s">
        <v>736</v>
      </c>
      <c r="G335" s="34" t="s">
        <v>737</v>
      </c>
      <c r="H335" s="34">
        <v>700</v>
      </c>
      <c r="I335" s="35">
        <v>0.079</v>
      </c>
    </row>
    <row r="336" ht="15" customHeight="1">
      <c r="F336" s="12"/>
    </row>
    <row r="337" spans="2:8" ht="15" customHeight="1">
      <c r="B337"/>
      <c r="E337" s="28"/>
      <c r="G337" s="47"/>
      <c r="H337" s="28"/>
    </row>
    <row r="338" spans="2:8" ht="12.75">
      <c r="B338" s="28"/>
      <c r="D338" s="69"/>
      <c r="E338" s="28"/>
      <c r="H338" s="28"/>
    </row>
    <row r="339" spans="1:9" ht="12.75">
      <c r="A339" s="53"/>
      <c r="B339" s="54"/>
      <c r="D339" s="70"/>
      <c r="H339" s="55"/>
      <c r="I339" s="71"/>
    </row>
    <row r="340" spans="1:9" ht="15" customHeight="1">
      <c r="A340" s="55"/>
      <c r="B340" s="55"/>
      <c r="D340" s="71"/>
      <c r="G340" s="55"/>
      <c r="H340" s="55"/>
      <c r="I340" s="71"/>
    </row>
    <row r="341" spans="3:7" ht="15">
      <c r="C341" s="29"/>
      <c r="F341" s="55"/>
      <c r="G341" s="47"/>
    </row>
    <row r="342" spans="3:7" ht="15">
      <c r="C342" s="55"/>
      <c r="F342" s="55"/>
      <c r="G342" s="46"/>
    </row>
    <row r="344" ht="18.75" customHeight="1"/>
    <row r="353" ht="15" customHeight="1">
      <c r="B353"/>
    </row>
    <row r="354" ht="12.75">
      <c r="B354"/>
    </row>
    <row r="357" ht="12.75">
      <c r="B357"/>
    </row>
    <row r="365" ht="12.75">
      <c r="B365"/>
    </row>
    <row r="372" ht="18.75" customHeight="1"/>
    <row r="373" ht="15" customHeight="1"/>
    <row r="374" ht="15" customHeight="1"/>
    <row r="375" ht="15" customHeight="1"/>
    <row r="376" ht="15" customHeight="1"/>
    <row r="377" ht="15" customHeight="1">
      <c r="B377"/>
    </row>
    <row r="379" ht="12.75">
      <c r="B379"/>
    </row>
    <row r="380" ht="12.75">
      <c r="B380"/>
    </row>
    <row r="381" ht="12.75">
      <c r="B381"/>
    </row>
    <row r="384" ht="15" customHeight="1"/>
    <row r="388" ht="15" customHeight="1"/>
    <row r="389" ht="15" customHeight="1">
      <c r="B389"/>
    </row>
    <row r="396" ht="15" customHeight="1"/>
    <row r="401" ht="15" customHeight="1"/>
    <row r="402" ht="15" customHeight="1">
      <c r="B402"/>
    </row>
    <row r="403" ht="12.75">
      <c r="B403"/>
    </row>
    <row r="404" ht="15" customHeight="1"/>
    <row r="405" ht="15" customHeight="1"/>
    <row r="406" ht="15" customHeight="1"/>
    <row r="407" ht="15" customHeight="1"/>
    <row r="408" ht="15" customHeight="1"/>
    <row r="409" ht="15" customHeight="1">
      <c r="B409"/>
    </row>
    <row r="410" ht="15" customHeight="1"/>
    <row r="411" ht="15" customHeight="1"/>
    <row r="412" ht="15" customHeight="1"/>
    <row r="413" ht="18.75" customHeight="1"/>
    <row r="415" ht="15" customHeight="1"/>
    <row r="419" ht="14.25" customHeight="1"/>
    <row r="421" ht="15" customHeight="1"/>
    <row r="432" ht="15" customHeight="1"/>
    <row r="433" ht="12.75">
      <c r="B433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5" customHeight="1">
      <c r="B447"/>
    </row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>
      <c r="B455"/>
    </row>
    <row r="456" ht="15" customHeight="1">
      <c r="B456"/>
    </row>
    <row r="457" ht="15" customHeight="1">
      <c r="B457"/>
    </row>
    <row r="458" ht="15" customHeight="1">
      <c r="B458"/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7" ht="12.75">
      <c r="B477"/>
    </row>
    <row r="494" ht="15" customHeight="1"/>
    <row r="496" ht="18.75" customHeight="1">
      <c r="B496"/>
    </row>
    <row r="501" ht="15" customHeight="1"/>
    <row r="502" ht="15" customHeight="1"/>
    <row r="503" ht="15" customHeight="1">
      <c r="B503"/>
    </row>
    <row r="504" ht="12.75">
      <c r="B504"/>
    </row>
    <row r="505" ht="12.75">
      <c r="B505"/>
    </row>
    <row r="506" ht="18.75" customHeight="1">
      <c r="B506"/>
    </row>
    <row r="516" ht="12.75">
      <c r="B516"/>
    </row>
    <row r="531" ht="12.75">
      <c r="B531"/>
    </row>
    <row r="532" ht="12.75">
      <c r="B532"/>
    </row>
    <row r="541" ht="12.75">
      <c r="B541"/>
    </row>
    <row r="542" ht="15" customHeight="1">
      <c r="B542"/>
    </row>
    <row r="543" ht="15" customHeight="1"/>
    <row r="544" ht="15" customHeight="1"/>
    <row r="545" ht="12.75">
      <c r="B545"/>
    </row>
    <row r="546" ht="18.75" customHeight="1">
      <c r="B546"/>
    </row>
    <row r="549" ht="12.75">
      <c r="B549"/>
    </row>
    <row r="550" ht="15" customHeight="1">
      <c r="B550"/>
    </row>
    <row r="551" ht="12.75">
      <c r="B551"/>
    </row>
    <row r="552" ht="12.75">
      <c r="B552"/>
    </row>
    <row r="553" ht="12.75">
      <c r="B553"/>
    </row>
    <row r="554" ht="15" customHeight="1">
      <c r="B554"/>
    </row>
    <row r="555" ht="15" customHeight="1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4" ht="15" customHeight="1"/>
    <row r="565" ht="15" customHeight="1"/>
    <row r="566" ht="15" customHeight="1"/>
    <row r="567" ht="15" customHeight="1"/>
    <row r="568" ht="15" customHeight="1">
      <c r="B568"/>
    </row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9" ht="15" customHeight="1">
      <c r="B579"/>
    </row>
    <row r="580" ht="15" customHeight="1"/>
    <row r="581" ht="15" customHeight="1"/>
    <row r="582" ht="15" customHeight="1"/>
    <row r="583" ht="15" customHeight="1"/>
    <row r="584" ht="15" customHeight="1"/>
    <row r="592" ht="12.75">
      <c r="B592"/>
    </row>
    <row r="605" ht="12.75">
      <c r="B605"/>
    </row>
    <row r="608" ht="12.75">
      <c r="B608"/>
    </row>
    <row r="609" ht="12.75">
      <c r="B609"/>
    </row>
    <row r="610" ht="12.75">
      <c r="B610"/>
    </row>
    <row r="611" ht="12.75">
      <c r="B611"/>
    </row>
    <row r="613" ht="12.75">
      <c r="B613"/>
    </row>
    <row r="620" ht="15" customHeight="1"/>
    <row r="623" ht="18.75" customHeight="1"/>
    <row r="627" ht="15" customHeight="1"/>
    <row r="628" ht="15" customHeight="1"/>
    <row r="629" ht="12.75">
      <c r="B629"/>
    </row>
    <row r="630" ht="12.75">
      <c r="B630"/>
    </row>
    <row r="631" ht="12.75">
      <c r="B631"/>
    </row>
    <row r="633" ht="12.75">
      <c r="B633"/>
    </row>
    <row r="634" ht="15" customHeight="1">
      <c r="B634"/>
    </row>
    <row r="635" ht="15" customHeight="1">
      <c r="B635"/>
    </row>
    <row r="636" ht="15" customHeight="1">
      <c r="B636"/>
    </row>
    <row r="637" ht="15" customHeight="1"/>
    <row r="643" ht="15" customHeight="1"/>
    <row r="644" ht="15" customHeight="1"/>
    <row r="646" ht="15.75" customHeight="1"/>
    <row r="647" ht="15" customHeight="1"/>
    <row r="648" ht="15" customHeight="1"/>
    <row r="649" ht="15" customHeight="1"/>
    <row r="654" ht="15" customHeight="1"/>
    <row r="655" ht="15" customHeight="1">
      <c r="B655"/>
    </row>
    <row r="656" ht="12.75">
      <c r="B656"/>
    </row>
    <row r="657" ht="15" customHeight="1"/>
    <row r="658" ht="12.75">
      <c r="B658"/>
    </row>
    <row r="659" ht="12.75">
      <c r="B659"/>
    </row>
    <row r="669" ht="15" customHeight="1"/>
    <row r="671" ht="12.75">
      <c r="B671"/>
    </row>
    <row r="676" ht="12.75">
      <c r="B676"/>
    </row>
    <row r="677" ht="12.75">
      <c r="B677"/>
    </row>
    <row r="678" ht="12.75">
      <c r="B678"/>
    </row>
    <row r="684" ht="12.75">
      <c r="B684"/>
    </row>
    <row r="685" ht="12.75">
      <c r="B685"/>
    </row>
    <row r="686" ht="12.75">
      <c r="B686"/>
    </row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5" customHeight="1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5" ht="15" customHeight="1">
      <c r="B705"/>
    </row>
    <row r="706" ht="15" customHeight="1">
      <c r="B706"/>
    </row>
    <row r="707" ht="15" customHeight="1">
      <c r="B707"/>
    </row>
    <row r="708" ht="15" customHeight="1"/>
    <row r="710" ht="12.75">
      <c r="B710"/>
    </row>
    <row r="712" ht="15" customHeight="1"/>
    <row r="713" ht="15" customHeight="1">
      <c r="B713"/>
    </row>
    <row r="714" ht="12.75">
      <c r="B714"/>
    </row>
    <row r="715" ht="12.75">
      <c r="B715"/>
    </row>
    <row r="717" ht="12.75">
      <c r="B717"/>
    </row>
    <row r="718" ht="12.75">
      <c r="B718"/>
    </row>
    <row r="720" ht="15" customHeight="1"/>
    <row r="722" ht="12.75">
      <c r="B722"/>
    </row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2.75">
      <c r="B738"/>
    </row>
    <row r="739" ht="15" customHeight="1"/>
    <row r="740" ht="15" customHeight="1"/>
    <row r="741" ht="15" customHeight="1"/>
    <row r="742" ht="15" customHeight="1"/>
    <row r="743" ht="15" customHeight="1"/>
    <row r="748" ht="15" customHeight="1"/>
    <row r="754" spans="1:9" s="55" customFormat="1" ht="12.75">
      <c r="A754"/>
      <c r="B754" s="12"/>
      <c r="C754"/>
      <c r="D754" s="64"/>
      <c r="E754"/>
      <c r="F754"/>
      <c r="G754"/>
      <c r="H754"/>
      <c r="I754" s="64"/>
    </row>
    <row r="755" spans="1:9" s="55" customFormat="1" ht="12.75">
      <c r="A755"/>
      <c r="B755"/>
      <c r="C755"/>
      <c r="D755" s="64"/>
      <c r="E755"/>
      <c r="F755"/>
      <c r="G755"/>
      <c r="H755"/>
      <c r="I755" s="64"/>
    </row>
    <row r="759" ht="12.75">
      <c r="B759"/>
    </row>
    <row r="760" ht="18.75" customHeight="1"/>
    <row r="761" ht="15" customHeight="1"/>
    <row r="765" ht="12.75">
      <c r="B765"/>
    </row>
    <row r="776" ht="12.75">
      <c r="B776"/>
    </row>
    <row r="778" ht="12.75">
      <c r="B778"/>
    </row>
    <row r="791" ht="15" customHeight="1"/>
    <row r="792" ht="15" customHeight="1"/>
    <row r="793" ht="12.75">
      <c r="B793"/>
    </row>
    <row r="797" ht="12.75">
      <c r="B797"/>
    </row>
    <row r="798" ht="12.75">
      <c r="B798"/>
    </row>
    <row r="800" ht="18.75" customHeight="1"/>
    <row r="801" ht="18.75" customHeight="1"/>
    <row r="802" ht="18.75" customHeight="1">
      <c r="B802"/>
    </row>
    <row r="803" ht="12.75">
      <c r="B803"/>
    </row>
    <row r="805" ht="12.75">
      <c r="B805"/>
    </row>
    <row r="806" ht="12.75">
      <c r="B806"/>
    </row>
    <row r="807" ht="12.75">
      <c r="B807"/>
    </row>
    <row r="814" ht="12.75">
      <c r="B814"/>
    </row>
    <row r="815" ht="12.75">
      <c r="B815"/>
    </row>
    <row r="816" ht="12.75">
      <c r="B816"/>
    </row>
    <row r="817" ht="12.75">
      <c r="B817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5" customHeight="1">
      <c r="B825"/>
    </row>
    <row r="826" ht="15" customHeight="1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3" ht="12.75">
      <c r="B833"/>
    </row>
    <row r="834" ht="12.75">
      <c r="B834"/>
    </row>
    <row r="835" ht="12.75">
      <c r="B835"/>
    </row>
    <row r="841" ht="12.75">
      <c r="B841"/>
    </row>
    <row r="855" ht="12.75">
      <c r="B855"/>
    </row>
    <row r="856" ht="12.75">
      <c r="B856"/>
    </row>
    <row r="860" ht="15" customHeight="1"/>
    <row r="862" ht="15" customHeight="1"/>
    <row r="863" ht="15" customHeight="1"/>
    <row r="865" ht="12.75">
      <c r="B865"/>
    </row>
    <row r="866" ht="12.75">
      <c r="B866"/>
    </row>
    <row r="868" ht="12.75">
      <c r="B868"/>
    </row>
    <row r="869" ht="12.75">
      <c r="B869"/>
    </row>
    <row r="870" ht="12.75">
      <c r="B870"/>
    </row>
    <row r="873" ht="12.75">
      <c r="B873"/>
    </row>
    <row r="874" ht="12.75">
      <c r="B874"/>
    </row>
    <row r="875" ht="12.75">
      <c r="B875"/>
    </row>
    <row r="876" ht="12.75">
      <c r="B876"/>
    </row>
    <row r="882" ht="15" customHeight="1"/>
    <row r="883" ht="15" customHeight="1"/>
    <row r="884" ht="15" customHeight="1"/>
    <row r="885" ht="15" customHeight="1"/>
    <row r="890" ht="18.75" customHeight="1"/>
    <row r="891" ht="18.75" customHeight="1"/>
    <row r="892" ht="18.75" customHeight="1">
      <c r="B892"/>
    </row>
    <row r="893" ht="12.75">
      <c r="B893"/>
    </row>
    <row r="895" ht="15" customHeight="1">
      <c r="B895"/>
    </row>
    <row r="896" ht="12.75">
      <c r="B896"/>
    </row>
    <row r="897" ht="12.75">
      <c r="B897"/>
    </row>
    <row r="899" ht="18.75" customHeight="1"/>
    <row r="900" ht="18.75" customHeight="1"/>
    <row r="901" ht="12.75">
      <c r="B901"/>
    </row>
    <row r="904" ht="12.75">
      <c r="B904"/>
    </row>
    <row r="907" ht="15" customHeight="1"/>
    <row r="908" ht="15" customHeight="1"/>
    <row r="909" ht="15" customHeight="1"/>
    <row r="913" ht="12.75">
      <c r="B913"/>
    </row>
    <row r="915" ht="15" customHeight="1"/>
    <row r="917" ht="18.75" customHeight="1"/>
    <row r="919" ht="15" customHeight="1"/>
    <row r="924" ht="12.75">
      <c r="B924"/>
    </row>
    <row r="933" ht="18.75" customHeight="1"/>
    <row r="943" ht="12.75">
      <c r="B943"/>
    </row>
    <row r="944" ht="12.75">
      <c r="B944"/>
    </row>
    <row r="945" ht="12.75">
      <c r="B945"/>
    </row>
    <row r="946" ht="15" customHeight="1">
      <c r="B946"/>
    </row>
    <row r="947" ht="12.75">
      <c r="B947"/>
    </row>
    <row r="949" ht="12.75">
      <c r="B949"/>
    </row>
    <row r="950" ht="12.75">
      <c r="B950"/>
    </row>
    <row r="951" ht="12.75">
      <c r="B951"/>
    </row>
    <row r="957" ht="12.75">
      <c r="B957"/>
    </row>
    <row r="964" ht="18.75" customHeight="1"/>
    <row r="966" ht="12.75">
      <c r="B966"/>
    </row>
    <row r="967" ht="12.75">
      <c r="B967"/>
    </row>
    <row r="968" ht="12.75">
      <c r="B968"/>
    </row>
    <row r="970" ht="12.75">
      <c r="B970"/>
    </row>
    <row r="977" ht="15" customHeight="1"/>
    <row r="981" ht="12.75">
      <c r="B981"/>
    </row>
    <row r="983" ht="15" customHeight="1"/>
    <row r="984" ht="15" customHeight="1"/>
    <row r="986" ht="15" customHeight="1"/>
    <row r="987" ht="15" customHeight="1"/>
    <row r="989" ht="15" customHeight="1">
      <c r="B989"/>
    </row>
    <row r="990" ht="18.75" customHeight="1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9" ht="15" customHeight="1"/>
    <row r="1000" ht="15" customHeight="1"/>
    <row r="1001" ht="15" customHeight="1"/>
    <row r="1002" ht="15" customHeight="1"/>
    <row r="1003" ht="12.75">
      <c r="B1003"/>
    </row>
    <row r="1004" ht="12.75">
      <c r="B1004"/>
    </row>
    <row r="1005" ht="12.75">
      <c r="B1005"/>
    </row>
    <row r="1006" ht="12.75">
      <c r="B1006"/>
    </row>
    <row r="1020" ht="18.75" customHeight="1"/>
    <row r="1025" ht="12.75">
      <c r="B1025"/>
    </row>
    <row r="1027" ht="12.75">
      <c r="B1027"/>
    </row>
    <row r="1028" ht="18.75" customHeight="1">
      <c r="B1028"/>
    </row>
    <row r="1030" ht="18.75" customHeight="1"/>
    <row r="1032" ht="15" customHeight="1"/>
    <row r="1036" ht="12.75">
      <c r="B1036"/>
    </row>
    <row r="1039" ht="15" customHeight="1"/>
    <row r="1040" ht="15" customHeight="1"/>
    <row r="1041" ht="15" customHeight="1"/>
    <row r="1042" ht="15" customHeight="1"/>
    <row r="1043" ht="15" customHeight="1"/>
    <row r="1044" ht="15" customHeight="1">
      <c r="B1044"/>
    </row>
    <row r="1045" ht="15" customHeight="1"/>
    <row r="1046" ht="15" customHeight="1"/>
    <row r="1051" ht="18.75" customHeight="1">
      <c r="B1051"/>
    </row>
    <row r="1052" ht="12.75">
      <c r="B1052"/>
    </row>
    <row r="1053" ht="12.75">
      <c r="B1053"/>
    </row>
    <row r="1054" ht="12.75">
      <c r="B1054"/>
    </row>
    <row r="1064" ht="12.75">
      <c r="B1064"/>
    </row>
    <row r="1070" ht="18.75" customHeight="1"/>
    <row r="1079" ht="12.75">
      <c r="B1079"/>
    </row>
    <row r="1080" ht="15.75" customHeight="1">
      <c r="B1080"/>
    </row>
    <row r="1085" ht="15" customHeight="1"/>
    <row r="1089" ht="12.75">
      <c r="B1089"/>
    </row>
    <row r="1090" ht="12.75">
      <c r="B1090"/>
    </row>
    <row r="1093" ht="18.75" customHeight="1">
      <c r="B1093"/>
    </row>
    <row r="1094" ht="12.75">
      <c r="B1094"/>
    </row>
    <row r="1099" ht="18.75" customHeight="1"/>
    <row r="1107" ht="12.75">
      <c r="B1107"/>
    </row>
    <row r="1108" ht="12.75">
      <c r="B1108"/>
    </row>
    <row r="1116" ht="12.75">
      <c r="B1116"/>
    </row>
    <row r="1118" ht="18.75" customHeight="1"/>
    <row r="1120" ht="15.75" customHeight="1"/>
    <row r="1121" ht="15.75" customHeight="1"/>
    <row r="1122" ht="18.75" customHeight="1"/>
    <row r="1124" ht="15.75" customHeight="1"/>
    <row r="1125" ht="15.75" customHeight="1"/>
    <row r="1126" ht="15.75" customHeight="1"/>
    <row r="1127" ht="15.75" customHeight="1">
      <c r="B1127"/>
    </row>
    <row r="1128" ht="15.75" customHeight="1"/>
    <row r="1129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40" ht="15.75" customHeight="1">
      <c r="B1140"/>
    </row>
    <row r="1141" ht="15.75" customHeight="1"/>
    <row r="1142" ht="15.75" customHeight="1"/>
    <row r="1143" ht="15.75" customHeight="1"/>
    <row r="1147" ht="15" customHeight="1"/>
    <row r="1148" ht="15" customHeight="1"/>
    <row r="1149" ht="15" customHeight="1"/>
    <row r="1150" ht="15" customHeight="1"/>
    <row r="1152" ht="15.75" customHeight="1"/>
    <row r="1153" ht="15.75" customHeight="1">
      <c r="B1153"/>
    </row>
    <row r="1154" ht="15.75" customHeight="1"/>
    <row r="1155" ht="15.75" customHeight="1"/>
    <row r="1156" ht="15.75" customHeight="1">
      <c r="B1156"/>
    </row>
    <row r="1157" ht="15.75" customHeight="1">
      <c r="B1157"/>
    </row>
    <row r="1158" ht="15.75" customHeight="1">
      <c r="B1158"/>
    </row>
    <row r="1159" ht="15.75" customHeight="1">
      <c r="B1159"/>
    </row>
    <row r="1160" ht="15.75" customHeight="1"/>
    <row r="1161" ht="15.75" customHeight="1">
      <c r="B1161"/>
    </row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" customHeight="1"/>
    <row r="1170" ht="18.75" customHeight="1"/>
    <row r="1172" ht="18.75" customHeight="1"/>
    <row r="1175" ht="18.75" customHeight="1"/>
    <row r="1177" ht="15.75" customHeight="1">
      <c r="B1177"/>
    </row>
    <row r="1178" ht="15.75" customHeight="1">
      <c r="B1178"/>
    </row>
    <row r="1179" ht="15.75" customHeight="1">
      <c r="B1179"/>
    </row>
    <row r="1180" ht="15.75" customHeight="1"/>
    <row r="1181" ht="15.75" customHeight="1">
      <c r="B1181"/>
    </row>
    <row r="1182" ht="12.75">
      <c r="B1182"/>
    </row>
    <row r="1183" ht="12.75">
      <c r="B1183"/>
    </row>
    <row r="1184" ht="12.75">
      <c r="B1184"/>
    </row>
    <row r="1186" ht="12.75">
      <c r="B1186"/>
    </row>
    <row r="1187" ht="12.75">
      <c r="B1187"/>
    </row>
    <row r="1190" ht="12.75">
      <c r="B1190"/>
    </row>
    <row r="1195" ht="18.75" customHeight="1"/>
    <row r="1199" ht="12.75">
      <c r="B1199"/>
    </row>
    <row r="1200" ht="18.75" customHeight="1"/>
    <row r="1201" ht="18.75" customHeight="1"/>
    <row r="1202" ht="15.75" customHeight="1"/>
    <row r="1203" ht="15.75" customHeight="1">
      <c r="B1203"/>
    </row>
    <row r="1204" ht="15.75" customHeight="1">
      <c r="B1204"/>
    </row>
    <row r="1205" ht="15.75" customHeight="1"/>
    <row r="1206" ht="15.75" customHeight="1">
      <c r="B1206"/>
    </row>
    <row r="1207" ht="15.75" customHeight="1">
      <c r="B1207"/>
    </row>
    <row r="1208" ht="15.75" customHeight="1"/>
    <row r="1210" ht="18.75" customHeight="1"/>
    <row r="1214" ht="15" customHeight="1"/>
    <row r="1216" ht="15" customHeight="1"/>
    <row r="1217" ht="15" customHeight="1"/>
    <row r="1218" ht="15" customHeight="1"/>
    <row r="1219" ht="28.5" customHeight="1">
      <c r="B1219"/>
    </row>
    <row r="1224" ht="12.75">
      <c r="B1224"/>
    </row>
    <row r="1225" ht="12.75">
      <c r="B1225"/>
    </row>
    <row r="1226" ht="12.75">
      <c r="B1226"/>
    </row>
    <row r="1230" ht="15" customHeight="1"/>
    <row r="1231" ht="15" customHeight="1"/>
    <row r="1232" ht="15" customHeight="1">
      <c r="B1232"/>
    </row>
    <row r="1233" ht="12.75">
      <c r="B1233"/>
    </row>
    <row r="1234" ht="12.75">
      <c r="B1234"/>
    </row>
    <row r="1242" ht="12.75">
      <c r="B1242"/>
    </row>
    <row r="1243" ht="18.75" customHeight="1">
      <c r="B1243"/>
    </row>
    <row r="1244" ht="18.75" customHeight="1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3" ht="12.75">
      <c r="B1253"/>
    </row>
    <row r="1254" ht="12.75">
      <c r="B1254"/>
    </row>
    <row r="1255" ht="12.75">
      <c r="B1255"/>
    </row>
    <row r="1258" ht="12.75">
      <c r="B1258"/>
    </row>
    <row r="1261" ht="12.75">
      <c r="B1261"/>
    </row>
    <row r="1262" ht="12.75">
      <c r="B1262"/>
    </row>
    <row r="1263" ht="12.75">
      <c r="B1263"/>
    </row>
    <row r="1265" ht="12.75">
      <c r="B1265"/>
    </row>
    <row r="1266" ht="12.75">
      <c r="B1266"/>
    </row>
    <row r="1269" ht="15" customHeight="1"/>
    <row r="1270" ht="12.75">
      <c r="B1270"/>
    </row>
    <row r="1272" ht="18.75" customHeight="1"/>
    <row r="1286" ht="12.75">
      <c r="B1286"/>
    </row>
    <row r="1288" ht="15" customHeight="1"/>
    <row r="1297" ht="18.75" customHeight="1"/>
    <row r="1303" ht="12.75">
      <c r="B1303"/>
    </row>
    <row r="1307" ht="12.75">
      <c r="B1307"/>
    </row>
    <row r="1308" ht="15" customHeight="1"/>
    <row r="1313" ht="12.75">
      <c r="B1313"/>
    </row>
    <row r="1316" ht="15" customHeight="1"/>
    <row r="1324" ht="12.75">
      <c r="B1324"/>
    </row>
    <row r="1326" ht="12.75">
      <c r="B1326"/>
    </row>
    <row r="1341" ht="12.75">
      <c r="B1341"/>
    </row>
    <row r="1345" ht="12.75">
      <c r="B1345"/>
    </row>
    <row r="1346" ht="12.75">
      <c r="B1346"/>
    </row>
    <row r="1368" ht="12.75">
      <c r="B1368"/>
    </row>
    <row r="1376" ht="15" customHeight="1"/>
    <row r="1389" ht="12.75">
      <c r="B1389"/>
    </row>
    <row r="1394" ht="12.75">
      <c r="B1394"/>
    </row>
    <row r="1402" ht="12.75">
      <c r="B1402"/>
    </row>
    <row r="1413" ht="12.75">
      <c r="B1413"/>
    </row>
    <row r="1422" ht="12.75" customHeight="1"/>
    <row r="1423" ht="12.75" customHeight="1"/>
    <row r="1426" ht="12.75" customHeight="1"/>
    <row r="1437" ht="12.75" customHeight="1"/>
    <row r="1440" ht="12.75">
      <c r="B1440"/>
    </row>
    <row r="1441" ht="12.75">
      <c r="B1441"/>
    </row>
    <row r="1443" ht="12.75">
      <c r="B1443"/>
    </row>
    <row r="1444" ht="12.75" customHeight="1">
      <c r="B1444"/>
    </row>
    <row r="1445" ht="12.75">
      <c r="B1445"/>
    </row>
    <row r="1452" ht="15.75" customHeight="1"/>
    <row r="1469" ht="12.75" customHeight="1"/>
    <row r="1472" ht="12.75">
      <c r="B1472"/>
    </row>
    <row r="1474" ht="12.75">
      <c r="B1474"/>
    </row>
    <row r="1489" ht="12.75">
      <c r="B1489"/>
    </row>
    <row r="1490" ht="15" customHeight="1"/>
    <row r="1491" ht="15" customHeight="1">
      <c r="B1491"/>
    </row>
    <row r="1492" ht="12.75">
      <c r="B1492"/>
    </row>
    <row r="1493" ht="12.75">
      <c r="B1493"/>
    </row>
    <row r="1494" ht="12.75">
      <c r="B1494"/>
    </row>
    <row r="1495" ht="12.75">
      <c r="B1495"/>
    </row>
    <row r="1497" ht="15" customHeight="1"/>
    <row r="1498" ht="15" customHeight="1"/>
    <row r="1499" ht="15" customHeight="1"/>
    <row r="1501" ht="12.75" customHeight="1"/>
    <row r="1502" ht="15" customHeight="1"/>
    <row r="1505" ht="15" customHeight="1"/>
    <row r="1506" ht="15" customHeight="1"/>
    <row r="1507" ht="15" customHeight="1"/>
    <row r="1508" ht="15" customHeight="1"/>
    <row r="1509" ht="15" customHeight="1"/>
    <row r="1514" ht="12.75">
      <c r="B1514"/>
    </row>
    <row r="1515" ht="12.75">
      <c r="B1515"/>
    </row>
    <row r="1516" ht="12.75">
      <c r="B1516"/>
    </row>
    <row r="1517" ht="15" customHeight="1"/>
    <row r="1518" ht="15" customHeight="1">
      <c r="B1518"/>
    </row>
    <row r="1519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>
      <c r="B1528"/>
    </row>
    <row r="1529" ht="15" customHeight="1">
      <c r="B1529"/>
    </row>
    <row r="1530" ht="15" customHeight="1">
      <c r="B1530"/>
    </row>
    <row r="1531" ht="15" customHeight="1">
      <c r="B1531"/>
    </row>
    <row r="1532" ht="15" customHeight="1">
      <c r="B1532"/>
    </row>
    <row r="1533" ht="12.75">
      <c r="B1533"/>
    </row>
    <row r="1534" ht="12.75">
      <c r="B1534"/>
    </row>
    <row r="1535" ht="15" customHeight="1">
      <c r="B1535"/>
    </row>
    <row r="1536" ht="15" customHeight="1">
      <c r="B1536"/>
    </row>
    <row r="1537" ht="15" customHeight="1">
      <c r="B1537"/>
    </row>
    <row r="1539" ht="12.75">
      <c r="B1539"/>
    </row>
    <row r="1540" ht="12.75">
      <c r="B1540"/>
    </row>
    <row r="1541" ht="12.75">
      <c r="B1541"/>
    </row>
    <row r="1544" ht="12.75">
      <c r="B1544"/>
    </row>
    <row r="1547" ht="12.75">
      <c r="B1547"/>
    </row>
    <row r="1548" ht="12.75">
      <c r="B1548"/>
    </row>
    <row r="1549" ht="12.75">
      <c r="B1549"/>
    </row>
    <row r="1551" ht="15" customHeight="1">
      <c r="B1551"/>
    </row>
    <row r="1552" ht="12.75">
      <c r="B1552"/>
    </row>
    <row r="1553" ht="15" customHeight="1"/>
    <row r="1556" ht="12.75">
      <c r="B1556"/>
    </row>
    <row r="1557" ht="12.75" customHeight="1"/>
    <row r="1558" ht="15" customHeight="1"/>
    <row r="1567" ht="15" customHeight="1"/>
    <row r="1568" ht="15" customHeight="1"/>
    <row r="1570" ht="15" customHeight="1"/>
    <row r="1571" ht="15" customHeight="1"/>
    <row r="1572" ht="15" customHeight="1">
      <c r="B1572"/>
    </row>
    <row r="1575" ht="15" customHeight="1"/>
    <row r="1576" ht="15" customHeight="1"/>
    <row r="1577" ht="15" customHeight="1"/>
    <row r="1578" ht="18.75" customHeight="1"/>
    <row r="1589" ht="12.75">
      <c r="B1589"/>
    </row>
    <row r="1593" ht="12.75">
      <c r="B1593"/>
    </row>
    <row r="1599" ht="12.75">
      <c r="B1599"/>
    </row>
    <row r="1602" ht="12.75" customHeight="1"/>
    <row r="1603" ht="12.75" customHeight="1"/>
    <row r="1606" ht="18.75" customHeight="1"/>
    <row r="1610" ht="12.75">
      <c r="B1610"/>
    </row>
    <row r="1612" ht="12.75">
      <c r="B1612"/>
    </row>
    <row r="1615" ht="12.75" customHeight="1"/>
    <row r="1627" ht="18.75" customHeight="1">
      <c r="B1627"/>
    </row>
    <row r="1629" ht="15" customHeight="1"/>
    <row r="1630" ht="15" customHeight="1"/>
    <row r="1631" ht="15" customHeight="1">
      <c r="B1631"/>
    </row>
    <row r="1632" ht="12.75">
      <c r="B1632"/>
    </row>
    <row r="1636" ht="12.75">
      <c r="B1636"/>
    </row>
    <row r="1637" ht="12.75">
      <c r="B1637"/>
    </row>
    <row r="1638" ht="12.75">
      <c r="B1638"/>
    </row>
    <row r="1639" ht="18.75" customHeight="1"/>
    <row r="1646" ht="12.75">
      <c r="B1646"/>
    </row>
    <row r="1647" ht="12.75">
      <c r="B1647"/>
    </row>
    <row r="1648" ht="12.75">
      <c r="B1648"/>
    </row>
    <row r="1649" ht="12.75">
      <c r="B1649"/>
    </row>
    <row r="1652" ht="15" customHeight="1"/>
    <row r="1653" ht="15" customHeight="1"/>
    <row r="1654" ht="12.75">
      <c r="B1654"/>
    </row>
    <row r="1659" ht="18.75" customHeight="1"/>
    <row r="1675" ht="12.75">
      <c r="B1675"/>
    </row>
    <row r="1683" ht="18.75" customHeight="1"/>
    <row r="1690" ht="12.75">
      <c r="B1690"/>
    </row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705" ht="15" customHeight="1"/>
    <row r="1706" ht="15" customHeight="1"/>
    <row r="1707" ht="15" customHeight="1">
      <c r="B1707"/>
    </row>
    <row r="1708" ht="15" customHeight="1"/>
    <row r="1711" ht="12.75">
      <c r="B1711"/>
    </row>
    <row r="1726" ht="12.75">
      <c r="B1726"/>
    </row>
    <row r="1727" ht="18.75" customHeight="1">
      <c r="B1727"/>
    </row>
    <row r="1729" ht="12.75">
      <c r="B1729"/>
    </row>
    <row r="1730" ht="12.75">
      <c r="B1730"/>
    </row>
    <row r="1731" ht="12.75">
      <c r="B1731"/>
    </row>
    <row r="1746" ht="18.75" customHeight="1"/>
    <row r="1753" ht="12.75" customHeight="1"/>
    <row r="1754" ht="12.75" customHeight="1"/>
    <row r="1755" ht="12.75" customHeight="1"/>
    <row r="1756" ht="12.75" customHeight="1"/>
    <row r="1758" ht="12.75">
      <c r="B1758"/>
    </row>
    <row r="1766" ht="15" customHeight="1"/>
    <row r="1777" ht="12.75">
      <c r="B1777"/>
    </row>
    <row r="1778" ht="12.75">
      <c r="B1778"/>
    </row>
    <row r="1779" ht="12.75">
      <c r="B1779"/>
    </row>
    <row r="1780" ht="12.75">
      <c r="B1780"/>
    </row>
    <row r="1781" ht="15" customHeight="1">
      <c r="B1781"/>
    </row>
    <row r="1782" ht="18.75" customHeight="1"/>
    <row r="1791" ht="15" customHeight="1"/>
    <row r="1792" ht="15" customHeight="1"/>
    <row r="1795" ht="12.75" customHeight="1"/>
    <row r="1796" ht="12.75" customHeight="1"/>
    <row r="1800" ht="12.75">
      <c r="B1800"/>
    </row>
    <row r="1801" ht="12.75">
      <c r="B1801"/>
    </row>
    <row r="1802" ht="12.75">
      <c r="B1802"/>
    </row>
    <row r="1804" ht="12.75">
      <c r="B1804"/>
    </row>
    <row r="1809" ht="15" customHeight="1"/>
    <row r="1810" ht="15" customHeight="1"/>
    <row r="1818" ht="18.75" customHeight="1"/>
    <row r="1829" ht="12.75" customHeight="1"/>
    <row r="1842" ht="12.75" customHeight="1"/>
    <row r="1844" ht="12.75">
      <c r="B1844"/>
    </row>
    <row r="1845" ht="12.75">
      <c r="B1845"/>
    </row>
    <row r="1847" ht="12.75">
      <c r="B1847"/>
    </row>
    <row r="1848" ht="12.75">
      <c r="B1848"/>
    </row>
    <row r="1849" ht="12.75">
      <c r="B1849"/>
    </row>
    <row r="1855" ht="12.75" customHeight="1"/>
    <row r="1858" ht="15" customHeight="1"/>
    <row r="1859" ht="15" customHeight="1"/>
    <row r="1860" ht="15" customHeight="1"/>
    <row r="1861" ht="15" customHeight="1"/>
    <row r="1863" ht="18.75" customHeight="1"/>
    <row r="1876" ht="12.75">
      <c r="B1876"/>
    </row>
    <row r="1879" ht="14.25" customHeight="1"/>
    <row r="1880" ht="14.25" customHeight="1"/>
    <row r="1881" ht="15" customHeight="1"/>
    <row r="1883" ht="15" customHeight="1"/>
    <row r="1884" ht="15" customHeight="1"/>
    <row r="1885" ht="15" customHeight="1"/>
    <row r="1886" ht="18.75" customHeight="1"/>
    <row r="1895" ht="12.75">
      <c r="B1895"/>
    </row>
    <row r="1896" ht="12.75">
      <c r="B1896"/>
    </row>
    <row r="1897" ht="12.75">
      <c r="B1897"/>
    </row>
    <row r="1898" ht="12.75">
      <c r="B1898"/>
    </row>
    <row r="1899" ht="12.75">
      <c r="B1899"/>
    </row>
    <row r="1905" ht="15" customHeight="1"/>
    <row r="1906" ht="15" customHeight="1"/>
    <row r="1908" ht="15" customHeight="1"/>
    <row r="1909" ht="15" customHeight="1"/>
    <row r="1918" ht="12.75">
      <c r="B1918"/>
    </row>
    <row r="1919" ht="12.75">
      <c r="B1919"/>
    </row>
    <row r="1920" ht="12.75">
      <c r="B1920"/>
    </row>
    <row r="1921" ht="15" customHeight="1"/>
    <row r="1922" ht="12.75">
      <c r="B1922"/>
    </row>
    <row r="1926" ht="15" customHeight="1"/>
    <row r="1927" ht="15" customHeight="1"/>
    <row r="1928" ht="15" customHeight="1"/>
    <row r="1934" ht="15" customHeight="1"/>
    <row r="1935" ht="15" customHeight="1"/>
    <row r="1936" ht="18.7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2.75" customHeight="1"/>
    <row r="1953" ht="12.75" customHeight="1"/>
    <row r="1955" ht="15" customHeight="1"/>
    <row r="1956" ht="15" customHeight="1"/>
    <row r="1957" ht="15" customHeight="1"/>
    <row r="1960" ht="15" customHeight="1"/>
    <row r="1963" ht="15" customHeight="1"/>
    <row r="1964" ht="15" customHeight="1"/>
    <row r="1965" ht="15" customHeight="1"/>
    <row r="1967" ht="15" customHeight="1"/>
    <row r="1968" ht="15" customHeight="1"/>
    <row r="1972" ht="15" customHeight="1"/>
    <row r="1988" ht="18.75" customHeight="1"/>
    <row r="2005" ht="18.75" customHeight="1"/>
    <row r="2009" ht="34.5" customHeight="1"/>
    <row r="2015" ht="12.75" customHeight="1"/>
    <row r="2026" ht="18.75" customHeight="1"/>
    <row r="2028" ht="12.75" customHeight="1"/>
    <row r="2043" ht="18.75" customHeight="1"/>
    <row r="2047" ht="30.75" customHeight="1"/>
    <row r="2048" ht="12.75" customHeight="1"/>
    <row r="2070" ht="13.5" customHeight="1"/>
    <row r="2091" ht="15" customHeight="1"/>
    <row r="2142" ht="15" customHeight="1"/>
    <row r="2143" ht="15" customHeight="1"/>
    <row r="2145" ht="18.75" customHeight="1"/>
    <row r="2146" ht="18.75" customHeight="1"/>
    <row r="2147" ht="15" customHeight="1"/>
    <row r="2174" ht="18.75" customHeight="1"/>
    <row r="2193" ht="18.75" customHeight="1"/>
    <row r="2194" ht="18.75" customHeight="1"/>
    <row r="2195" ht="18.75" customHeight="1"/>
    <row r="2196" ht="18.75" customHeight="1"/>
    <row r="2197" ht="36" customHeight="1"/>
    <row r="2216" ht="18.75" customHeight="1"/>
    <row r="2217" ht="18.75" customHeight="1"/>
    <row r="2218" ht="18.75" customHeight="1"/>
    <row r="2220" ht="36" customHeight="1"/>
  </sheetData>
  <sheetProtection/>
  <mergeCells count="91">
    <mergeCell ref="A322:A323"/>
    <mergeCell ref="A324:A325"/>
    <mergeCell ref="F222:F237"/>
    <mergeCell ref="A109:A115"/>
    <mergeCell ref="F240:F250"/>
    <mergeCell ref="F251:F265"/>
    <mergeCell ref="F308:F309"/>
    <mergeCell ref="A249:A268"/>
    <mergeCell ref="F205:F213"/>
    <mergeCell ref="F267:F275"/>
    <mergeCell ref="F128:F129"/>
    <mergeCell ref="F104:F105"/>
    <mergeCell ref="F120:F126"/>
    <mergeCell ref="F15:F32"/>
    <mergeCell ref="F182:F183"/>
    <mergeCell ref="F172:F173"/>
    <mergeCell ref="F180:F181"/>
    <mergeCell ref="F113:F117"/>
    <mergeCell ref="F118:F119"/>
    <mergeCell ref="F148:F167"/>
    <mergeCell ref="A16:A17"/>
    <mergeCell ref="A63:A66"/>
    <mergeCell ref="F81:F85"/>
    <mergeCell ref="A75:A78"/>
    <mergeCell ref="A73:A74"/>
    <mergeCell ref="A58:A61"/>
    <mergeCell ref="F63:F64"/>
    <mergeCell ref="A56:A57"/>
    <mergeCell ref="F238:F239"/>
    <mergeCell ref="A186:A188"/>
    <mergeCell ref="A207:A212"/>
    <mergeCell ref="F192:F199"/>
    <mergeCell ref="A233:A240"/>
    <mergeCell ref="A8:I8"/>
    <mergeCell ref="A9:I9"/>
    <mergeCell ref="A10:I10"/>
    <mergeCell ref="F34:F38"/>
    <mergeCell ref="F101:F103"/>
    <mergeCell ref="A11:I11"/>
    <mergeCell ref="A68:A72"/>
    <mergeCell ref="A3:I3"/>
    <mergeCell ref="A4:I4"/>
    <mergeCell ref="A7:I7"/>
    <mergeCell ref="A6:I6"/>
    <mergeCell ref="A13:I13"/>
    <mergeCell ref="A28:A30"/>
    <mergeCell ref="F65:F67"/>
    <mergeCell ref="A53:A55"/>
    <mergeCell ref="F218:F221"/>
    <mergeCell ref="A31:A49"/>
    <mergeCell ref="F92:F94"/>
    <mergeCell ref="A169:A170"/>
    <mergeCell ref="F88:F89"/>
    <mergeCell ref="F169:F171"/>
    <mergeCell ref="F214:F215"/>
    <mergeCell ref="F109:F111"/>
    <mergeCell ref="A171:A178"/>
    <mergeCell ref="F39:F45"/>
    <mergeCell ref="A328:A332"/>
    <mergeCell ref="F301:F303"/>
    <mergeCell ref="A318:A319"/>
    <mergeCell ref="A326:A327"/>
    <mergeCell ref="A282:A286"/>
    <mergeCell ref="A287:A316"/>
    <mergeCell ref="F311:F333"/>
    <mergeCell ref="F276:F284"/>
    <mergeCell ref="F285:F299"/>
    <mergeCell ref="A333:A334"/>
    <mergeCell ref="A20:A27"/>
    <mergeCell ref="A148:A167"/>
    <mergeCell ref="A179:A185"/>
    <mergeCell ref="A96:A99"/>
    <mergeCell ref="A228:A229"/>
    <mergeCell ref="A100:A105"/>
    <mergeCell ref="A269:A281"/>
    <mergeCell ref="A193:A199"/>
    <mergeCell ref="A79:A95"/>
    <mergeCell ref="A202:A206"/>
    <mergeCell ref="A50:A52"/>
    <mergeCell ref="A241:A248"/>
    <mergeCell ref="A230:A232"/>
    <mergeCell ref="A141:A146"/>
    <mergeCell ref="A116:A139"/>
    <mergeCell ref="A190:I190"/>
    <mergeCell ref="A213:A227"/>
    <mergeCell ref="F50:F62"/>
    <mergeCell ref="F68:F76"/>
    <mergeCell ref="F78:F80"/>
    <mergeCell ref="F130:F147"/>
    <mergeCell ref="F202:F204"/>
    <mergeCell ref="F178:F179"/>
  </mergeCells>
  <hyperlinks>
    <hyperlink ref="A10:D10" r:id="rId1" display="http://www.usm-74.com/"/>
  </hyperlinks>
  <printOptions/>
  <pageMargins left="0.5905511811023623" right="0" top="0" bottom="0" header="0.3937007874015748" footer="0.1968503937007874"/>
  <pageSetup fitToHeight="3" horizontalDpi="600" verticalDpi="600" orientation="portrait" paperSize="9" scale="46" r:id="rId5"/>
  <rowBreaks count="2" manualBreakCount="2">
    <brk id="108" max="8" man="1"/>
    <brk id="221" max="8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7">
      <selection activeCell="G8" sqref="G8"/>
    </sheetView>
  </sheetViews>
  <sheetFormatPr defaultColWidth="9.140625" defaultRowHeight="12.75"/>
  <cols>
    <col min="1" max="1" width="30.57421875" style="0" customWidth="1"/>
    <col min="2" max="2" width="31.00390625" style="12" customWidth="1"/>
    <col min="3" max="3" width="31.57421875" style="0" customWidth="1"/>
  </cols>
  <sheetData>
    <row r="1" ht="20.25">
      <c r="A1" s="1"/>
    </row>
    <row r="2" ht="20.25">
      <c r="A2" s="1"/>
    </row>
    <row r="3" ht="20.25">
      <c r="A3" s="1"/>
    </row>
    <row r="4" ht="10.5" customHeight="1">
      <c r="A4" s="1"/>
    </row>
    <row r="5" spans="1:5" ht="18.75">
      <c r="A5" s="84"/>
      <c r="B5" s="84"/>
      <c r="C5" s="84"/>
      <c r="D5" s="8"/>
      <c r="E5" s="8"/>
    </row>
    <row r="6" spans="1:5" ht="31.5" customHeight="1">
      <c r="A6" s="94" t="s">
        <v>20</v>
      </c>
      <c r="B6" s="94"/>
      <c r="C6" s="94"/>
      <c r="D6" s="6"/>
      <c r="E6" s="6"/>
    </row>
    <row r="7" spans="1:5" ht="20.25">
      <c r="A7" s="85" t="s">
        <v>21</v>
      </c>
      <c r="B7" s="85"/>
      <c r="C7" s="85"/>
      <c r="D7" s="6"/>
      <c r="E7" s="6"/>
    </row>
    <row r="8" spans="1:5" ht="44.25" customHeight="1">
      <c r="A8" s="95" t="s">
        <v>447</v>
      </c>
      <c r="B8" s="95"/>
      <c r="C8" s="95"/>
      <c r="D8" s="6"/>
      <c r="E8" s="6"/>
    </row>
    <row r="9" spans="1:6" ht="15.75">
      <c r="A9" s="93"/>
      <c r="B9" s="93"/>
      <c r="C9" s="93"/>
      <c r="D9" s="5"/>
      <c r="E9" s="2"/>
      <c r="F9" s="2"/>
    </row>
    <row r="10" spans="1:5" ht="19.5" customHeight="1">
      <c r="A10" s="87" t="s">
        <v>22</v>
      </c>
      <c r="B10" s="87"/>
      <c r="C10" s="87"/>
      <c r="D10" s="2"/>
      <c r="E10" s="2"/>
    </row>
    <row r="11" spans="1:6" ht="28.5" customHeight="1">
      <c r="A11" s="9" t="s">
        <v>0</v>
      </c>
      <c r="B11" s="11" t="s">
        <v>23</v>
      </c>
      <c r="C11" s="9" t="s">
        <v>24</v>
      </c>
      <c r="D11" s="5"/>
      <c r="E11" s="2"/>
      <c r="F11" s="2"/>
    </row>
    <row r="12" spans="1:6" ht="15.75">
      <c r="A12" s="90" t="s">
        <v>25</v>
      </c>
      <c r="B12" s="13" t="s">
        <v>26</v>
      </c>
      <c r="C12" s="10" t="s">
        <v>27</v>
      </c>
      <c r="D12" s="5"/>
      <c r="E12" s="2"/>
      <c r="F12" s="2"/>
    </row>
    <row r="13" spans="1:6" ht="15.75">
      <c r="A13" s="91"/>
      <c r="B13" s="13" t="s">
        <v>28</v>
      </c>
      <c r="C13" s="10" t="s">
        <v>29</v>
      </c>
      <c r="D13" s="5"/>
      <c r="E13" s="2"/>
      <c r="F13" s="2"/>
    </row>
    <row r="14" spans="1:6" ht="15.75">
      <c r="A14" s="91"/>
      <c r="B14" s="13" t="s">
        <v>30</v>
      </c>
      <c r="C14" s="10" t="s">
        <v>31</v>
      </c>
      <c r="D14" s="5"/>
      <c r="E14" s="2"/>
      <c r="F14" s="2"/>
    </row>
    <row r="15" spans="1:6" ht="15.75">
      <c r="A15" s="92"/>
      <c r="B15" s="13" t="s">
        <v>32</v>
      </c>
      <c r="C15" s="10" t="s">
        <v>33</v>
      </c>
      <c r="D15" s="5"/>
      <c r="E15" s="2"/>
      <c r="F15" s="2"/>
    </row>
    <row r="16" spans="1:6" ht="15.75">
      <c r="A16" s="90" t="s">
        <v>34</v>
      </c>
      <c r="B16" s="13" t="s">
        <v>26</v>
      </c>
      <c r="C16" s="10" t="s">
        <v>35</v>
      </c>
      <c r="D16" s="5"/>
      <c r="E16" s="2"/>
      <c r="F16" s="2"/>
    </row>
    <row r="17" spans="1:6" ht="15.75">
      <c r="A17" s="91"/>
      <c r="B17" s="13" t="s">
        <v>28</v>
      </c>
      <c r="C17" s="10" t="s">
        <v>36</v>
      </c>
      <c r="D17" s="5"/>
      <c r="E17" s="2"/>
      <c r="F17" s="2"/>
    </row>
    <row r="18" spans="1:6" ht="15.75">
      <c r="A18" s="91"/>
      <c r="B18" s="13" t="s">
        <v>30</v>
      </c>
      <c r="C18" s="10" t="s">
        <v>37</v>
      </c>
      <c r="D18" s="5"/>
      <c r="E18" s="2"/>
      <c r="F18" s="2"/>
    </row>
    <row r="19" spans="1:6" ht="15.75">
      <c r="A19" s="92"/>
      <c r="B19" s="13" t="s">
        <v>32</v>
      </c>
      <c r="C19" s="10" t="s">
        <v>38</v>
      </c>
      <c r="D19" s="5"/>
      <c r="E19" s="2"/>
      <c r="F19" s="2"/>
    </row>
    <row r="20" spans="1:6" ht="15.75">
      <c r="A20" s="90" t="s">
        <v>39</v>
      </c>
      <c r="B20" s="13" t="s">
        <v>26</v>
      </c>
      <c r="C20" s="10" t="s">
        <v>35</v>
      </c>
      <c r="D20" s="5"/>
      <c r="E20" s="2"/>
      <c r="F20" s="2"/>
    </row>
    <row r="21" spans="1:6" ht="15.75">
      <c r="A21" s="91"/>
      <c r="B21" s="13" t="s">
        <v>28</v>
      </c>
      <c r="C21" s="10" t="s">
        <v>36</v>
      </c>
      <c r="D21" s="5"/>
      <c r="E21" s="2"/>
      <c r="F21" s="2"/>
    </row>
    <row r="22" spans="1:6" ht="15.75">
      <c r="A22" s="91"/>
      <c r="B22" s="13" t="s">
        <v>30</v>
      </c>
      <c r="C22" s="10" t="s">
        <v>37</v>
      </c>
      <c r="D22" s="5"/>
      <c r="E22" s="2"/>
      <c r="F22" s="2"/>
    </row>
    <row r="23" spans="1:6" ht="15.75">
      <c r="A23" s="92"/>
      <c r="B23" s="13" t="s">
        <v>32</v>
      </c>
      <c r="C23" s="10" t="s">
        <v>38</v>
      </c>
      <c r="D23" s="5"/>
      <c r="E23" s="2"/>
      <c r="F23" s="2"/>
    </row>
    <row r="24" spans="1:6" ht="15.75">
      <c r="A24" s="90" t="s">
        <v>1</v>
      </c>
      <c r="B24" s="13" t="s">
        <v>26</v>
      </c>
      <c r="C24" s="10" t="s">
        <v>35</v>
      </c>
      <c r="D24" s="5"/>
      <c r="E24" s="2"/>
      <c r="F24" s="2"/>
    </row>
    <row r="25" spans="1:6" ht="15.75">
      <c r="A25" s="91"/>
      <c r="B25" s="13" t="s">
        <v>28</v>
      </c>
      <c r="C25" s="10" t="s">
        <v>36</v>
      </c>
      <c r="D25" s="5"/>
      <c r="E25" s="2"/>
      <c r="F25" s="2"/>
    </row>
    <row r="26" spans="1:6" ht="15.75">
      <c r="A26" s="91"/>
      <c r="B26" s="13" t="s">
        <v>30</v>
      </c>
      <c r="C26" s="10" t="s">
        <v>37</v>
      </c>
      <c r="D26" s="5"/>
      <c r="E26" s="2"/>
      <c r="F26" s="2"/>
    </row>
    <row r="27" spans="1:6" ht="15.75">
      <c r="A27" s="92"/>
      <c r="B27" s="13" t="s">
        <v>32</v>
      </c>
      <c r="C27" s="10" t="s">
        <v>38</v>
      </c>
      <c r="D27" s="5"/>
      <c r="E27" s="2"/>
      <c r="F27" s="2"/>
    </row>
    <row r="28" spans="1:6" ht="15.75">
      <c r="A28" s="90" t="s">
        <v>7</v>
      </c>
      <c r="B28" s="13" t="s">
        <v>26</v>
      </c>
      <c r="C28" s="10" t="s">
        <v>35</v>
      </c>
      <c r="D28" s="5"/>
      <c r="E28" s="2"/>
      <c r="F28" s="2"/>
    </row>
    <row r="29" spans="1:6" ht="15.75">
      <c r="A29" s="91"/>
      <c r="B29" s="13" t="s">
        <v>28</v>
      </c>
      <c r="C29" s="10" t="s">
        <v>36</v>
      </c>
      <c r="D29" s="5"/>
      <c r="E29" s="2"/>
      <c r="F29" s="2"/>
    </row>
    <row r="30" spans="1:6" ht="15.75">
      <c r="A30" s="91"/>
      <c r="B30" s="13" t="s">
        <v>30</v>
      </c>
      <c r="C30" s="10" t="s">
        <v>37</v>
      </c>
      <c r="D30" s="5"/>
      <c r="E30" s="2"/>
      <c r="F30" s="2"/>
    </row>
    <row r="31" spans="1:6" ht="15.75">
      <c r="A31" s="92"/>
      <c r="B31" s="13" t="s">
        <v>32</v>
      </c>
      <c r="C31" s="10" t="s">
        <v>38</v>
      </c>
      <c r="D31" s="5"/>
      <c r="E31" s="2"/>
      <c r="F31" s="2"/>
    </row>
    <row r="32" spans="1:6" ht="15.75">
      <c r="A32" s="90" t="s">
        <v>9</v>
      </c>
      <c r="B32" s="13" t="s">
        <v>26</v>
      </c>
      <c r="C32" s="10" t="s">
        <v>35</v>
      </c>
      <c r="D32" s="5"/>
      <c r="E32" s="2"/>
      <c r="F32" s="2"/>
    </row>
    <row r="33" spans="1:6" ht="15.75">
      <c r="A33" s="91"/>
      <c r="B33" s="13" t="s">
        <v>28</v>
      </c>
      <c r="C33" s="10" t="s">
        <v>36</v>
      </c>
      <c r="D33" s="5"/>
      <c r="E33" s="2"/>
      <c r="F33" s="2"/>
    </row>
    <row r="34" spans="1:6" ht="15.75">
      <c r="A34" s="91"/>
      <c r="B34" s="13" t="s">
        <v>30</v>
      </c>
      <c r="C34" s="10" t="s">
        <v>37</v>
      </c>
      <c r="D34" s="5"/>
      <c r="E34" s="2"/>
      <c r="F34" s="2"/>
    </row>
    <row r="35" spans="1:6" ht="15.75">
      <c r="A35" s="92"/>
      <c r="B35" s="13" t="s">
        <v>32</v>
      </c>
      <c r="C35" s="10" t="s">
        <v>38</v>
      </c>
      <c r="D35" s="5"/>
      <c r="E35" s="2"/>
      <c r="F35" s="2"/>
    </row>
    <row r="36" spans="1:6" ht="15.75">
      <c r="A36" s="90" t="s">
        <v>6</v>
      </c>
      <c r="B36" s="13" t="s">
        <v>26</v>
      </c>
      <c r="C36" s="10" t="s">
        <v>35</v>
      </c>
      <c r="D36" s="5"/>
      <c r="E36" s="2"/>
      <c r="F36" s="2"/>
    </row>
    <row r="37" spans="1:6" ht="15.75">
      <c r="A37" s="91"/>
      <c r="B37" s="13" t="s">
        <v>28</v>
      </c>
      <c r="C37" s="10" t="s">
        <v>36</v>
      </c>
      <c r="D37" s="5"/>
      <c r="E37" s="2"/>
      <c r="F37" s="2"/>
    </row>
    <row r="38" spans="1:6" ht="15.75">
      <c r="A38" s="91"/>
      <c r="B38" s="13" t="s">
        <v>30</v>
      </c>
      <c r="C38" s="10" t="s">
        <v>37</v>
      </c>
      <c r="D38" s="5"/>
      <c r="E38" s="2"/>
      <c r="F38" s="2"/>
    </row>
    <row r="39" spans="1:6" ht="15.75">
      <c r="A39" s="92"/>
      <c r="B39" s="13" t="s">
        <v>32</v>
      </c>
      <c r="C39" s="10" t="s">
        <v>38</v>
      </c>
      <c r="D39" s="5"/>
      <c r="E39" s="2"/>
      <c r="F39" s="2"/>
    </row>
    <row r="40" spans="1:6" ht="15.75">
      <c r="A40" s="90" t="s">
        <v>40</v>
      </c>
      <c r="B40" s="13" t="s">
        <v>26</v>
      </c>
      <c r="C40" s="10" t="s">
        <v>35</v>
      </c>
      <c r="D40" s="5"/>
      <c r="E40" s="2"/>
      <c r="F40" s="2"/>
    </row>
    <row r="41" spans="1:6" ht="15.75">
      <c r="A41" s="91"/>
      <c r="B41" s="13" t="s">
        <v>28</v>
      </c>
      <c r="C41" s="10" t="s">
        <v>36</v>
      </c>
      <c r="D41" s="5"/>
      <c r="E41" s="2"/>
      <c r="F41" s="2"/>
    </row>
    <row r="42" spans="1:6" ht="15.75">
      <c r="A42" s="91"/>
      <c r="B42" s="13" t="s">
        <v>30</v>
      </c>
      <c r="C42" s="10" t="s">
        <v>37</v>
      </c>
      <c r="D42" s="5"/>
      <c r="E42" s="2"/>
      <c r="F42" s="2"/>
    </row>
    <row r="43" spans="1:6" ht="15.75">
      <c r="A43" s="92"/>
      <c r="B43" s="13" t="s">
        <v>32</v>
      </c>
      <c r="C43" s="10" t="s">
        <v>38</v>
      </c>
      <c r="D43" s="5"/>
      <c r="E43" s="2"/>
      <c r="F43" s="2"/>
    </row>
    <row r="44" spans="1:6" ht="15.75">
      <c r="A44" s="90" t="s">
        <v>11</v>
      </c>
      <c r="B44" s="13" t="s">
        <v>26</v>
      </c>
      <c r="C44" s="10" t="s">
        <v>35</v>
      </c>
      <c r="D44" s="5"/>
      <c r="E44" s="2"/>
      <c r="F44" s="2"/>
    </row>
    <row r="45" spans="1:6" ht="15.75">
      <c r="A45" s="91"/>
      <c r="B45" s="13" t="s">
        <v>28</v>
      </c>
      <c r="C45" s="10" t="s">
        <v>36</v>
      </c>
      <c r="D45" s="5"/>
      <c r="E45" s="2"/>
      <c r="F45" s="2"/>
    </row>
    <row r="46" spans="1:6" ht="15.75">
      <c r="A46" s="91"/>
      <c r="B46" s="13" t="s">
        <v>30</v>
      </c>
      <c r="C46" s="10" t="s">
        <v>37</v>
      </c>
      <c r="D46" s="5"/>
      <c r="E46" s="2"/>
      <c r="F46" s="2"/>
    </row>
    <row r="47" spans="1:6" ht="15.75">
      <c r="A47" s="92"/>
      <c r="B47" s="13" t="s">
        <v>32</v>
      </c>
      <c r="C47" s="10" t="s">
        <v>38</v>
      </c>
      <c r="D47" s="5"/>
      <c r="E47" s="2"/>
      <c r="F47" s="2"/>
    </row>
    <row r="48" spans="1:6" ht="25.5" customHeight="1">
      <c r="A48" s="90" t="s">
        <v>41</v>
      </c>
      <c r="B48" s="13" t="s">
        <v>28</v>
      </c>
      <c r="C48" s="10" t="s">
        <v>36</v>
      </c>
      <c r="D48" s="5"/>
      <c r="E48" s="2"/>
      <c r="F48" s="2"/>
    </row>
    <row r="49" spans="1:6" ht="15.75">
      <c r="A49" s="91"/>
      <c r="B49" s="13" t="s">
        <v>30</v>
      </c>
      <c r="C49" s="10" t="s">
        <v>37</v>
      </c>
      <c r="D49" s="5"/>
      <c r="E49" s="2"/>
      <c r="F49" s="2"/>
    </row>
    <row r="50" spans="1:6" ht="15.75">
      <c r="A50" s="92"/>
      <c r="B50" s="13" t="s">
        <v>32</v>
      </c>
      <c r="C50" s="10" t="s">
        <v>38</v>
      </c>
      <c r="D50" s="5"/>
      <c r="E50" s="2"/>
      <c r="F50" s="2"/>
    </row>
    <row r="51" spans="1:6" ht="25.5" customHeight="1">
      <c r="A51" s="90" t="s">
        <v>42</v>
      </c>
      <c r="B51" s="13" t="s">
        <v>28</v>
      </c>
      <c r="C51" s="10" t="s">
        <v>36</v>
      </c>
      <c r="D51" s="5"/>
      <c r="E51" s="2"/>
      <c r="F51" s="2"/>
    </row>
    <row r="52" spans="1:6" ht="15.75">
      <c r="A52" s="91"/>
      <c r="B52" s="13" t="s">
        <v>30</v>
      </c>
      <c r="C52" s="10" t="s">
        <v>37</v>
      </c>
      <c r="D52" s="5"/>
      <c r="E52" s="2"/>
      <c r="F52" s="2"/>
    </row>
    <row r="53" spans="1:6" ht="15.75">
      <c r="A53" s="92"/>
      <c r="B53" s="13" t="s">
        <v>32</v>
      </c>
      <c r="C53" s="10" t="s">
        <v>38</v>
      </c>
      <c r="D53" s="5"/>
      <c r="E53" s="2"/>
      <c r="F53" s="2"/>
    </row>
    <row r="54" spans="1:6" ht="25.5" customHeight="1">
      <c r="A54" s="90" t="s">
        <v>43</v>
      </c>
      <c r="B54" s="13" t="s">
        <v>28</v>
      </c>
      <c r="C54" s="10" t="s">
        <v>36</v>
      </c>
      <c r="D54" s="5"/>
      <c r="E54" s="2"/>
      <c r="F54" s="2"/>
    </row>
    <row r="55" spans="1:6" ht="15.75">
      <c r="A55" s="91"/>
      <c r="B55" s="13" t="s">
        <v>30</v>
      </c>
      <c r="C55" s="10" t="s">
        <v>37</v>
      </c>
      <c r="D55" s="5"/>
      <c r="E55" s="2"/>
      <c r="F55" s="2"/>
    </row>
    <row r="56" spans="1:6" ht="15.75">
      <c r="A56" s="92"/>
      <c r="B56" s="13" t="s">
        <v>32</v>
      </c>
      <c r="C56" s="10" t="s">
        <v>38</v>
      </c>
      <c r="D56" s="5"/>
      <c r="E56" s="2"/>
      <c r="F56" s="2"/>
    </row>
    <row r="57" spans="1:6" ht="15.75">
      <c r="A57" s="90" t="s">
        <v>5</v>
      </c>
      <c r="B57" s="13" t="s">
        <v>28</v>
      </c>
      <c r="C57" s="10" t="s">
        <v>44</v>
      </c>
      <c r="D57" s="5"/>
      <c r="E57" s="2"/>
      <c r="F57" s="2"/>
    </row>
    <row r="58" spans="1:6" ht="15.75">
      <c r="A58" s="91"/>
      <c r="B58" s="13" t="s">
        <v>30</v>
      </c>
      <c r="C58" s="10" t="s">
        <v>45</v>
      </c>
      <c r="D58" s="5"/>
      <c r="E58" s="2"/>
      <c r="F58" s="2"/>
    </row>
    <row r="59" spans="1:6" ht="15.75">
      <c r="A59" s="92"/>
      <c r="B59" s="13" t="s">
        <v>32</v>
      </c>
      <c r="C59" s="10" t="s">
        <v>46</v>
      </c>
      <c r="D59" s="5"/>
      <c r="E59" s="2"/>
      <c r="F59" s="2"/>
    </row>
    <row r="60" spans="1:6" ht="15.75">
      <c r="A60" s="90" t="s">
        <v>47</v>
      </c>
      <c r="B60" s="13" t="s">
        <v>28</v>
      </c>
      <c r="C60" s="10" t="s">
        <v>36</v>
      </c>
      <c r="D60" s="5"/>
      <c r="E60" s="2"/>
      <c r="F60" s="2"/>
    </row>
    <row r="61" spans="1:6" ht="15.75">
      <c r="A61" s="91"/>
      <c r="B61" s="13" t="s">
        <v>30</v>
      </c>
      <c r="C61" s="10" t="s">
        <v>37</v>
      </c>
      <c r="D61" s="5"/>
      <c r="E61" s="2"/>
      <c r="F61" s="2"/>
    </row>
    <row r="62" spans="1:6" ht="15.75">
      <c r="A62" s="92"/>
      <c r="B62" s="13" t="s">
        <v>32</v>
      </c>
      <c r="C62" s="10" t="s">
        <v>38</v>
      </c>
      <c r="D62" s="5"/>
      <c r="E62" s="2"/>
      <c r="F62" s="2"/>
    </row>
    <row r="63" spans="1:6" ht="15.75">
      <c r="A63" s="90" t="s">
        <v>48</v>
      </c>
      <c r="B63" s="13" t="s">
        <v>28</v>
      </c>
      <c r="C63" s="10" t="s">
        <v>36</v>
      </c>
      <c r="D63" s="5"/>
      <c r="E63" s="2"/>
      <c r="F63" s="2"/>
    </row>
    <row r="64" spans="1:6" ht="15.75">
      <c r="A64" s="91"/>
      <c r="B64" s="13" t="s">
        <v>30</v>
      </c>
      <c r="C64" s="10" t="s">
        <v>37</v>
      </c>
      <c r="D64" s="5"/>
      <c r="E64" s="2"/>
      <c r="F64" s="2"/>
    </row>
    <row r="65" spans="1:6" ht="15.75">
      <c r="A65" s="92"/>
      <c r="B65" s="13" t="s">
        <v>32</v>
      </c>
      <c r="C65" s="10" t="s">
        <v>38</v>
      </c>
      <c r="D65" s="5"/>
      <c r="E65" s="2"/>
      <c r="F65" s="2"/>
    </row>
    <row r="66" spans="1:6" ht="15.75">
      <c r="A66" s="90" t="s">
        <v>49</v>
      </c>
      <c r="B66" s="13" t="s">
        <v>28</v>
      </c>
      <c r="C66" s="10" t="s">
        <v>36</v>
      </c>
      <c r="D66" s="5"/>
      <c r="E66" s="2"/>
      <c r="F66" s="2"/>
    </row>
    <row r="67" spans="1:6" ht="15.75">
      <c r="A67" s="91"/>
      <c r="B67" s="13" t="s">
        <v>30</v>
      </c>
      <c r="C67" s="10" t="s">
        <v>37</v>
      </c>
      <c r="D67" s="5"/>
      <c r="E67" s="2"/>
      <c r="F67" s="2"/>
    </row>
    <row r="68" spans="1:6" ht="15.75">
      <c r="A68" s="92"/>
      <c r="B68" s="13" t="s">
        <v>32</v>
      </c>
      <c r="C68" s="10" t="s">
        <v>38</v>
      </c>
      <c r="D68" s="5"/>
      <c r="E68" s="2"/>
      <c r="F68" s="2"/>
    </row>
    <row r="69" spans="1:6" ht="15.75">
      <c r="A69" s="14" t="s">
        <v>50</v>
      </c>
      <c r="B69" s="13" t="s">
        <v>32</v>
      </c>
      <c r="C69" s="10" t="s">
        <v>51</v>
      </c>
      <c r="D69" s="5"/>
      <c r="E69" s="2"/>
      <c r="F69" s="2"/>
    </row>
    <row r="70" spans="1:6" ht="15.75">
      <c r="A70" s="14" t="s">
        <v>52</v>
      </c>
      <c r="B70" s="13" t="s">
        <v>32</v>
      </c>
      <c r="C70" s="10" t="s">
        <v>51</v>
      </c>
      <c r="D70" s="5"/>
      <c r="E70" s="2"/>
      <c r="F70" s="2"/>
    </row>
    <row r="71" spans="1:6" ht="15.75">
      <c r="A71" s="14" t="s">
        <v>53</v>
      </c>
      <c r="B71" s="13" t="s">
        <v>32</v>
      </c>
      <c r="C71" s="10" t="s">
        <v>51</v>
      </c>
      <c r="D71" s="5"/>
      <c r="E71" s="2"/>
      <c r="F71" s="2"/>
    </row>
    <row r="72" spans="1:6" ht="15.75">
      <c r="A72" s="14" t="s">
        <v>54</v>
      </c>
      <c r="B72" s="13" t="s">
        <v>32</v>
      </c>
      <c r="C72" s="10" t="s">
        <v>51</v>
      </c>
      <c r="D72" s="5"/>
      <c r="E72" s="2"/>
      <c r="F72" s="2"/>
    </row>
    <row r="73" spans="1:6" ht="15.75">
      <c r="A73" s="14" t="s">
        <v>55</v>
      </c>
      <c r="B73" s="13" t="s">
        <v>32</v>
      </c>
      <c r="C73" s="10" t="s">
        <v>51</v>
      </c>
      <c r="D73" s="5"/>
      <c r="E73" s="2"/>
      <c r="F73" s="2"/>
    </row>
    <row r="74" spans="1:6" ht="15.75">
      <c r="A74" s="14" t="s">
        <v>56</v>
      </c>
      <c r="B74" s="13" t="s">
        <v>32</v>
      </c>
      <c r="C74" s="10" t="s">
        <v>51</v>
      </c>
      <c r="D74" s="5"/>
      <c r="E74" s="2"/>
      <c r="F74" s="2"/>
    </row>
    <row r="75" spans="1:6" ht="15.75">
      <c r="A75" s="14" t="s">
        <v>57</v>
      </c>
      <c r="B75" s="13" t="s">
        <v>32</v>
      </c>
      <c r="C75" s="10" t="s">
        <v>51</v>
      </c>
      <c r="D75" s="5"/>
      <c r="E75" s="2"/>
      <c r="F75" s="2"/>
    </row>
    <row r="76" spans="1:6" ht="15.75">
      <c r="A76" s="14" t="s">
        <v>58</v>
      </c>
      <c r="B76" s="13" t="s">
        <v>32</v>
      </c>
      <c r="C76" s="10" t="s">
        <v>51</v>
      </c>
      <c r="D76" s="5"/>
      <c r="E76" s="2"/>
      <c r="F76" s="2"/>
    </row>
    <row r="77" spans="1:6" ht="15.75">
      <c r="A77" s="14" t="s">
        <v>59</v>
      </c>
      <c r="B77" s="13" t="s">
        <v>32</v>
      </c>
      <c r="C77" s="10" t="s">
        <v>51</v>
      </c>
      <c r="D77" s="5"/>
      <c r="E77" s="2"/>
      <c r="F77" s="2"/>
    </row>
    <row r="78" spans="1:6" ht="15.75">
      <c r="A78" s="14" t="s">
        <v>60</v>
      </c>
      <c r="B78" s="13" t="s">
        <v>32</v>
      </c>
      <c r="C78" s="10" t="s">
        <v>51</v>
      </c>
      <c r="D78" s="5"/>
      <c r="E78" s="2"/>
      <c r="F78" s="2"/>
    </row>
    <row r="79" spans="1:6" ht="15.75">
      <c r="A79" s="14" t="s">
        <v>61</v>
      </c>
      <c r="B79" s="13" t="s">
        <v>32</v>
      </c>
      <c r="C79" s="10" t="s">
        <v>51</v>
      </c>
      <c r="D79" s="5"/>
      <c r="E79" s="2"/>
      <c r="F79" s="2"/>
    </row>
    <row r="80" spans="1:6" ht="25.5">
      <c r="A80" s="14" t="s">
        <v>62</v>
      </c>
      <c r="B80" s="13" t="s">
        <v>32</v>
      </c>
      <c r="C80" s="10" t="s">
        <v>51</v>
      </c>
      <c r="D80" s="5"/>
      <c r="E80" s="2"/>
      <c r="F80" s="2"/>
    </row>
    <row r="81" spans="1:6" ht="15.75">
      <c r="A81" s="14" t="s">
        <v>63</v>
      </c>
      <c r="B81" s="13" t="s">
        <v>32</v>
      </c>
      <c r="C81" s="10" t="s">
        <v>51</v>
      </c>
      <c r="D81" s="5"/>
      <c r="E81" s="2"/>
      <c r="F81" s="2"/>
    </row>
    <row r="82" spans="1:6" ht="15.75">
      <c r="A82" s="14" t="s">
        <v>64</v>
      </c>
      <c r="B82" s="13" t="s">
        <v>32</v>
      </c>
      <c r="C82" s="10" t="s">
        <v>51</v>
      </c>
      <c r="D82" s="5"/>
      <c r="E82" s="2"/>
      <c r="F82" s="2"/>
    </row>
    <row r="83" spans="1:5" ht="19.5" customHeight="1">
      <c r="A83" s="87" t="s">
        <v>65</v>
      </c>
      <c r="B83" s="87"/>
      <c r="C83" s="87"/>
      <c r="D83" s="2"/>
      <c r="E83" s="2"/>
    </row>
    <row r="84" spans="1:6" ht="28.5" customHeight="1">
      <c r="A84" s="9" t="s">
        <v>0</v>
      </c>
      <c r="B84" s="11" t="s">
        <v>23</v>
      </c>
      <c r="C84" s="9" t="s">
        <v>24</v>
      </c>
      <c r="D84" s="5"/>
      <c r="E84" s="2"/>
      <c r="F84" s="2"/>
    </row>
    <row r="85" spans="1:6" ht="26.25" customHeight="1">
      <c r="A85" s="96" t="s">
        <v>66</v>
      </c>
      <c r="B85" s="97"/>
      <c r="C85" s="98"/>
      <c r="D85" s="5"/>
      <c r="E85" s="2"/>
      <c r="F85" s="2"/>
    </row>
    <row r="86" spans="1:6" ht="15.75">
      <c r="A86" s="15" t="s">
        <v>67</v>
      </c>
      <c r="B86" s="16" t="s">
        <v>68</v>
      </c>
      <c r="C86" s="17" t="s">
        <v>69</v>
      </c>
      <c r="D86" s="5"/>
      <c r="E86" s="2"/>
      <c r="F86" s="2"/>
    </row>
    <row r="87" spans="1:6" ht="15.75">
      <c r="A87" s="18" t="s">
        <v>70</v>
      </c>
      <c r="B87" s="16" t="s">
        <v>68</v>
      </c>
      <c r="C87" s="17" t="s">
        <v>71</v>
      </c>
      <c r="D87" s="5"/>
      <c r="E87" s="2"/>
      <c r="F87" s="2"/>
    </row>
    <row r="88" spans="1:6" ht="15.75">
      <c r="A88" s="15" t="s">
        <v>72</v>
      </c>
      <c r="B88" s="16" t="s">
        <v>68</v>
      </c>
      <c r="C88" s="17" t="s">
        <v>73</v>
      </c>
      <c r="D88" s="5"/>
      <c r="E88" s="2"/>
      <c r="F88" s="2"/>
    </row>
    <row r="89" spans="1:6" ht="15.75">
      <c r="A89" s="15" t="s">
        <v>74</v>
      </c>
      <c r="B89" s="16" t="s">
        <v>68</v>
      </c>
      <c r="C89" s="17" t="s">
        <v>75</v>
      </c>
      <c r="D89" s="5"/>
      <c r="E89" s="2"/>
      <c r="F89" s="2"/>
    </row>
    <row r="90" spans="1:6" ht="15.75">
      <c r="A90" s="15">
        <v>35</v>
      </c>
      <c r="B90" s="16" t="s">
        <v>68</v>
      </c>
      <c r="C90" s="17" t="s">
        <v>76</v>
      </c>
      <c r="D90" s="5"/>
      <c r="E90" s="2"/>
      <c r="F90" s="2"/>
    </row>
    <row r="91" spans="1:6" ht="15.75">
      <c r="A91" s="15" t="s">
        <v>77</v>
      </c>
      <c r="B91" s="16" t="s">
        <v>68</v>
      </c>
      <c r="C91" s="17" t="s">
        <v>78</v>
      </c>
      <c r="D91" s="5"/>
      <c r="E91" s="2"/>
      <c r="F91" s="2"/>
    </row>
    <row r="92" spans="1:6" ht="15.75">
      <c r="A92" s="15">
        <v>20</v>
      </c>
      <c r="B92" s="16" t="s">
        <v>68</v>
      </c>
      <c r="C92" s="17" t="s">
        <v>79</v>
      </c>
      <c r="D92" s="5"/>
      <c r="E92" s="2"/>
      <c r="F92" s="2"/>
    </row>
    <row r="93" spans="1:6" ht="15.75">
      <c r="A93" s="15" t="s">
        <v>80</v>
      </c>
      <c r="B93" s="16" t="s">
        <v>68</v>
      </c>
      <c r="C93" s="17" t="s">
        <v>81</v>
      </c>
      <c r="D93" s="5"/>
      <c r="E93" s="2"/>
      <c r="F93" s="2"/>
    </row>
    <row r="94" spans="1:6" ht="15.75">
      <c r="A94" s="15" t="s">
        <v>82</v>
      </c>
      <c r="B94" s="16" t="s">
        <v>68</v>
      </c>
      <c r="C94" s="17" t="s">
        <v>83</v>
      </c>
      <c r="D94" s="5"/>
      <c r="E94" s="2"/>
      <c r="F94" s="2"/>
    </row>
    <row r="95" spans="1:6" ht="15.75">
      <c r="A95" s="15" t="s">
        <v>84</v>
      </c>
      <c r="B95" s="16" t="s">
        <v>68</v>
      </c>
      <c r="C95" s="17" t="s">
        <v>85</v>
      </c>
      <c r="D95" s="5"/>
      <c r="E95" s="2"/>
      <c r="F95" s="2"/>
    </row>
    <row r="96" spans="1:6" ht="15.75">
      <c r="A96" s="15">
        <v>10</v>
      </c>
      <c r="B96" s="16" t="s">
        <v>68</v>
      </c>
      <c r="C96" s="17" t="s">
        <v>86</v>
      </c>
      <c r="D96" s="5"/>
      <c r="E96" s="2"/>
      <c r="F96" s="2"/>
    </row>
    <row r="97" spans="1:6" ht="15.75">
      <c r="A97" s="15" t="s">
        <v>87</v>
      </c>
      <c r="B97" s="16" t="s">
        <v>68</v>
      </c>
      <c r="C97" s="17" t="s">
        <v>88</v>
      </c>
      <c r="D97" s="5"/>
      <c r="E97" s="2"/>
      <c r="F97" s="2"/>
    </row>
    <row r="98" spans="1:6" ht="15.75">
      <c r="A98" s="15">
        <v>45</v>
      </c>
      <c r="B98" s="16" t="s">
        <v>68</v>
      </c>
      <c r="C98" s="17" t="s">
        <v>89</v>
      </c>
      <c r="D98" s="5"/>
      <c r="E98" s="2"/>
      <c r="F98" s="2"/>
    </row>
    <row r="99" spans="1:6" ht="15.75">
      <c r="A99" s="15" t="s">
        <v>90</v>
      </c>
      <c r="B99" s="16" t="s">
        <v>68</v>
      </c>
      <c r="C99" s="17" t="s">
        <v>91</v>
      </c>
      <c r="D99" s="5"/>
      <c r="E99" s="2"/>
      <c r="F99" s="2"/>
    </row>
    <row r="100" spans="1:6" ht="15.75">
      <c r="A100" s="15" t="s">
        <v>92</v>
      </c>
      <c r="B100" s="16" t="s">
        <v>68</v>
      </c>
      <c r="C100" s="17" t="s">
        <v>93</v>
      </c>
      <c r="D100" s="5"/>
      <c r="E100" s="2"/>
      <c r="F100" s="2"/>
    </row>
    <row r="101" spans="1:6" ht="15.75">
      <c r="A101" s="15" t="s">
        <v>94</v>
      </c>
      <c r="B101" s="16" t="s">
        <v>68</v>
      </c>
      <c r="C101" s="17" t="s">
        <v>95</v>
      </c>
      <c r="D101" s="5"/>
      <c r="E101" s="2"/>
      <c r="F101" s="2"/>
    </row>
    <row r="102" spans="1:6" ht="15.75">
      <c r="A102" s="15" t="s">
        <v>96</v>
      </c>
      <c r="B102" s="16" t="s">
        <v>68</v>
      </c>
      <c r="C102" s="17" t="s">
        <v>97</v>
      </c>
      <c r="D102" s="5"/>
      <c r="E102" s="2"/>
      <c r="F102" s="2"/>
    </row>
    <row r="103" spans="1:6" ht="15.75">
      <c r="A103" s="15" t="s">
        <v>98</v>
      </c>
      <c r="B103" s="16" t="s">
        <v>68</v>
      </c>
      <c r="C103" s="17" t="s">
        <v>99</v>
      </c>
      <c r="D103" s="5"/>
      <c r="E103" s="2"/>
      <c r="F103" s="2"/>
    </row>
    <row r="104" spans="1:6" ht="15.75">
      <c r="A104" s="15" t="s">
        <v>100</v>
      </c>
      <c r="B104" s="16" t="s">
        <v>68</v>
      </c>
      <c r="C104" s="17" t="s">
        <v>101</v>
      </c>
      <c r="D104" s="5"/>
      <c r="E104" s="2"/>
      <c r="F104" s="2"/>
    </row>
    <row r="105" spans="1:6" ht="15.75">
      <c r="A105" s="15" t="s">
        <v>102</v>
      </c>
      <c r="B105" s="16" t="s">
        <v>68</v>
      </c>
      <c r="C105" s="17" t="s">
        <v>101</v>
      </c>
      <c r="D105" s="5"/>
      <c r="E105" s="2"/>
      <c r="F105" s="2"/>
    </row>
    <row r="106" spans="1:6" ht="15.75">
      <c r="A106" s="19" t="s">
        <v>100</v>
      </c>
      <c r="B106" s="20" t="s">
        <v>68</v>
      </c>
      <c r="C106" s="21" t="s">
        <v>103</v>
      </c>
      <c r="D106" s="5"/>
      <c r="E106" s="2"/>
      <c r="F106" s="2"/>
    </row>
    <row r="107" spans="1:6" ht="29.25" customHeight="1">
      <c r="A107" s="102" t="s">
        <v>104</v>
      </c>
      <c r="B107" s="102"/>
      <c r="C107" s="102"/>
      <c r="D107" s="22"/>
      <c r="E107" s="2"/>
      <c r="F107" s="2"/>
    </row>
    <row r="108" spans="1:6" ht="15.75">
      <c r="A108" s="23" t="s">
        <v>105</v>
      </c>
      <c r="B108" s="20" t="s">
        <v>68</v>
      </c>
      <c r="C108" s="24" t="s">
        <v>106</v>
      </c>
      <c r="E108" s="2"/>
      <c r="F108" s="2"/>
    </row>
    <row r="109" spans="1:6" ht="15.75">
      <c r="A109" s="25" t="s">
        <v>107</v>
      </c>
      <c r="B109" s="20" t="s">
        <v>68</v>
      </c>
      <c r="C109" s="17" t="s">
        <v>108</v>
      </c>
      <c r="E109" s="2"/>
      <c r="F109" s="2"/>
    </row>
    <row r="110" spans="1:6" ht="15.75">
      <c r="A110" s="25" t="s">
        <v>109</v>
      </c>
      <c r="B110" s="20" t="s">
        <v>68</v>
      </c>
      <c r="C110" s="17" t="s">
        <v>110</v>
      </c>
      <c r="E110" s="2"/>
      <c r="F110" s="2"/>
    </row>
    <row r="111" spans="1:6" ht="15.75">
      <c r="A111" s="25" t="s">
        <v>109</v>
      </c>
      <c r="B111" s="20" t="s">
        <v>68</v>
      </c>
      <c r="C111" s="17" t="s">
        <v>111</v>
      </c>
      <c r="E111" s="2"/>
      <c r="F111" s="2"/>
    </row>
    <row r="112" spans="1:6" ht="15.75">
      <c r="A112" s="25" t="s">
        <v>112</v>
      </c>
      <c r="B112" s="20" t="s">
        <v>68</v>
      </c>
      <c r="C112" s="17" t="s">
        <v>113</v>
      </c>
      <c r="E112" s="2"/>
      <c r="F112" s="2"/>
    </row>
    <row r="113" spans="1:6" ht="15.75">
      <c r="A113" s="25" t="s">
        <v>114</v>
      </c>
      <c r="B113" s="20" t="s">
        <v>68</v>
      </c>
      <c r="C113" s="17" t="s">
        <v>115</v>
      </c>
      <c r="E113" s="2"/>
      <c r="F113" s="2"/>
    </row>
    <row r="114" spans="1:6" ht="15.75">
      <c r="A114" s="25" t="s">
        <v>116</v>
      </c>
      <c r="B114" s="20" t="s">
        <v>68</v>
      </c>
      <c r="C114" s="17" t="s">
        <v>117</v>
      </c>
      <c r="E114" s="2"/>
      <c r="F114" s="2"/>
    </row>
    <row r="115" spans="1:6" ht="15.75">
      <c r="A115" s="25" t="s">
        <v>118</v>
      </c>
      <c r="B115" s="20" t="s">
        <v>68</v>
      </c>
      <c r="C115" s="17" t="s">
        <v>119</v>
      </c>
      <c r="E115" s="2"/>
      <c r="F115" s="2"/>
    </row>
    <row r="116" spans="1:6" ht="15.75">
      <c r="A116" s="25" t="s">
        <v>120</v>
      </c>
      <c r="B116" s="20" t="s">
        <v>68</v>
      </c>
      <c r="C116" s="17" t="s">
        <v>119</v>
      </c>
      <c r="E116" s="2"/>
      <c r="F116" s="2"/>
    </row>
    <row r="117" spans="1:6" ht="15.75">
      <c r="A117" s="25" t="s">
        <v>121</v>
      </c>
      <c r="B117" s="20" t="s">
        <v>68</v>
      </c>
      <c r="C117" s="17" t="s">
        <v>110</v>
      </c>
      <c r="E117" s="2"/>
      <c r="F117" s="2"/>
    </row>
    <row r="118" spans="1:6" ht="15.75">
      <c r="A118" s="25" t="s">
        <v>121</v>
      </c>
      <c r="B118" s="20" t="s">
        <v>68</v>
      </c>
      <c r="C118" s="17" t="s">
        <v>111</v>
      </c>
      <c r="E118" s="2"/>
      <c r="F118" s="2"/>
    </row>
    <row r="119" spans="1:6" ht="15.75">
      <c r="A119" s="25" t="s">
        <v>121</v>
      </c>
      <c r="B119" s="20" t="s">
        <v>68</v>
      </c>
      <c r="C119" s="17" t="s">
        <v>122</v>
      </c>
      <c r="E119" s="2"/>
      <c r="F119" s="2"/>
    </row>
    <row r="120" spans="1:6" ht="15.75">
      <c r="A120" s="25" t="s">
        <v>123</v>
      </c>
      <c r="B120" s="20" t="s">
        <v>68</v>
      </c>
      <c r="C120" s="17" t="s">
        <v>106</v>
      </c>
      <c r="E120" s="2"/>
      <c r="F120" s="2"/>
    </row>
    <row r="121" spans="1:5" ht="14.25">
      <c r="A121" s="25" t="s">
        <v>124</v>
      </c>
      <c r="B121" s="20" t="s">
        <v>68</v>
      </c>
      <c r="C121" s="17" t="s">
        <v>125</v>
      </c>
      <c r="E121" s="7"/>
    </row>
    <row r="122" spans="1:6" ht="12.75">
      <c r="A122" s="25" t="s">
        <v>126</v>
      </c>
      <c r="B122" s="20" t="s">
        <v>68</v>
      </c>
      <c r="C122" s="17" t="s">
        <v>127</v>
      </c>
      <c r="E122" s="4"/>
      <c r="F122" s="4"/>
    </row>
    <row r="123" spans="1:5" ht="12.75">
      <c r="A123" s="25" t="s">
        <v>128</v>
      </c>
      <c r="B123" s="20" t="s">
        <v>68</v>
      </c>
      <c r="C123" s="17" t="s">
        <v>129</v>
      </c>
      <c r="E123" s="4"/>
    </row>
    <row r="124" spans="1:6" ht="15.75">
      <c r="A124" s="25" t="s">
        <v>130</v>
      </c>
      <c r="B124" s="20" t="s">
        <v>68</v>
      </c>
      <c r="C124" s="17" t="s">
        <v>131</v>
      </c>
      <c r="E124" s="2"/>
      <c r="F124" s="2"/>
    </row>
    <row r="125" spans="1:5" ht="12.75">
      <c r="A125" s="25" t="s">
        <v>132</v>
      </c>
      <c r="B125" s="20" t="s">
        <v>68</v>
      </c>
      <c r="C125" s="17" t="s">
        <v>133</v>
      </c>
      <c r="E125" s="3"/>
    </row>
    <row r="126" spans="1:3" ht="12.75">
      <c r="A126" s="25" t="s">
        <v>134</v>
      </c>
      <c r="B126" s="20" t="s">
        <v>68</v>
      </c>
      <c r="C126" s="17" t="s">
        <v>117</v>
      </c>
    </row>
    <row r="127" spans="1:5" ht="12.75">
      <c r="A127" s="25" t="s">
        <v>135</v>
      </c>
      <c r="B127" s="20" t="s">
        <v>68</v>
      </c>
      <c r="C127" s="17" t="s">
        <v>136</v>
      </c>
      <c r="E127" s="4"/>
    </row>
    <row r="128" spans="1:3" ht="12.75">
      <c r="A128" s="25" t="s">
        <v>137</v>
      </c>
      <c r="B128" s="20" t="s">
        <v>68</v>
      </c>
      <c r="C128" s="17" t="s">
        <v>138</v>
      </c>
    </row>
    <row r="129" spans="1:3" ht="12.75">
      <c r="A129" s="25" t="s">
        <v>139</v>
      </c>
      <c r="B129" s="20" t="s">
        <v>68</v>
      </c>
      <c r="C129" s="17" t="s">
        <v>140</v>
      </c>
    </row>
    <row r="130" spans="1:3" ht="12.75">
      <c r="A130" s="25" t="s">
        <v>141</v>
      </c>
      <c r="B130" s="20" t="s">
        <v>68</v>
      </c>
      <c r="C130" s="17" t="s">
        <v>142</v>
      </c>
    </row>
    <row r="131" spans="1:3" ht="12.75">
      <c r="A131" s="25" t="s">
        <v>143</v>
      </c>
      <c r="B131" s="20" t="s">
        <v>68</v>
      </c>
      <c r="C131" s="17" t="s">
        <v>106</v>
      </c>
    </row>
    <row r="132" spans="1:3" ht="12.75">
      <c r="A132" s="25" t="s">
        <v>144</v>
      </c>
      <c r="B132" s="20" t="s">
        <v>68</v>
      </c>
      <c r="C132" s="17" t="s">
        <v>145</v>
      </c>
    </row>
    <row r="133" spans="1:3" ht="12.75">
      <c r="A133" s="25" t="s">
        <v>146</v>
      </c>
      <c r="B133" s="20" t="s">
        <v>68</v>
      </c>
      <c r="C133" s="17" t="s">
        <v>147</v>
      </c>
    </row>
    <row r="134" spans="1:3" ht="12.75">
      <c r="A134" s="25" t="s">
        <v>148</v>
      </c>
      <c r="B134" s="20" t="s">
        <v>68</v>
      </c>
      <c r="C134" s="17" t="s">
        <v>149</v>
      </c>
    </row>
    <row r="135" spans="1:3" ht="12.75">
      <c r="A135" s="25" t="s">
        <v>150</v>
      </c>
      <c r="B135" s="20" t="s">
        <v>68</v>
      </c>
      <c r="C135" s="17" t="s">
        <v>106</v>
      </c>
    </row>
    <row r="136" spans="1:3" ht="12.75">
      <c r="A136" s="25" t="s">
        <v>151</v>
      </c>
      <c r="B136" s="20" t="s">
        <v>68</v>
      </c>
      <c r="C136" s="17" t="s">
        <v>111</v>
      </c>
    </row>
    <row r="137" spans="1:3" ht="12.75">
      <c r="A137" s="25" t="s">
        <v>152</v>
      </c>
      <c r="B137" s="20" t="s">
        <v>68</v>
      </c>
      <c r="C137" s="17" t="s">
        <v>153</v>
      </c>
    </row>
    <row r="138" spans="1:3" ht="12.75">
      <c r="A138" s="25" t="s">
        <v>154</v>
      </c>
      <c r="B138" s="20" t="s">
        <v>68</v>
      </c>
      <c r="C138" s="17" t="s">
        <v>155</v>
      </c>
    </row>
    <row r="139" spans="1:3" ht="12.75">
      <c r="A139" s="25" t="s">
        <v>154</v>
      </c>
      <c r="B139" s="20" t="s">
        <v>68</v>
      </c>
      <c r="C139" s="17" t="s">
        <v>156</v>
      </c>
    </row>
    <row r="140" spans="1:3" ht="12.75">
      <c r="A140" s="25" t="s">
        <v>154</v>
      </c>
      <c r="B140" s="20" t="s">
        <v>68</v>
      </c>
      <c r="C140" s="17" t="s">
        <v>157</v>
      </c>
    </row>
    <row r="141" spans="1:3" ht="12.75">
      <c r="A141" s="25" t="s">
        <v>158</v>
      </c>
      <c r="B141" s="20" t="s">
        <v>68</v>
      </c>
      <c r="C141" s="17" t="s">
        <v>83</v>
      </c>
    </row>
    <row r="142" spans="1:3" ht="12.75">
      <c r="A142" s="25" t="s">
        <v>159</v>
      </c>
      <c r="B142" s="20" t="s">
        <v>68</v>
      </c>
      <c r="C142" s="17" t="s">
        <v>160</v>
      </c>
    </row>
    <row r="143" spans="1:3" ht="12.75">
      <c r="A143" s="25" t="s">
        <v>161</v>
      </c>
      <c r="B143" s="20" t="s">
        <v>68</v>
      </c>
      <c r="C143" s="17" t="s">
        <v>162</v>
      </c>
    </row>
    <row r="144" spans="1:3" ht="12.75">
      <c r="A144" s="25" t="s">
        <v>163</v>
      </c>
      <c r="B144" s="20" t="s">
        <v>68</v>
      </c>
      <c r="C144" s="17" t="s">
        <v>91</v>
      </c>
    </row>
    <row r="145" spans="1:3" ht="12.75">
      <c r="A145" s="25" t="s">
        <v>164</v>
      </c>
      <c r="B145" s="20" t="s">
        <v>68</v>
      </c>
      <c r="C145" s="17" t="s">
        <v>106</v>
      </c>
    </row>
    <row r="146" spans="1:3" ht="12.75">
      <c r="A146" s="25" t="s">
        <v>165</v>
      </c>
      <c r="B146" s="20" t="s">
        <v>68</v>
      </c>
      <c r="C146" s="17" t="s">
        <v>166</v>
      </c>
    </row>
    <row r="147" spans="1:3" ht="12.75">
      <c r="A147" s="25" t="s">
        <v>167</v>
      </c>
      <c r="B147" s="20" t="s">
        <v>68</v>
      </c>
      <c r="C147" s="17" t="s">
        <v>106</v>
      </c>
    </row>
    <row r="148" spans="1:3" ht="12.75">
      <c r="A148" s="25" t="s">
        <v>168</v>
      </c>
      <c r="B148" s="20" t="s">
        <v>68</v>
      </c>
      <c r="C148" s="17" t="s">
        <v>169</v>
      </c>
    </row>
    <row r="149" spans="1:3" ht="12.75">
      <c r="A149" s="25" t="s">
        <v>170</v>
      </c>
      <c r="B149" s="20" t="s">
        <v>68</v>
      </c>
      <c r="C149" s="17" t="s">
        <v>106</v>
      </c>
    </row>
    <row r="150" spans="1:3" ht="12.75">
      <c r="A150" s="25" t="s">
        <v>170</v>
      </c>
      <c r="B150" s="20" t="s">
        <v>68</v>
      </c>
      <c r="C150" s="17" t="s">
        <v>111</v>
      </c>
    </row>
    <row r="151" spans="1:3" ht="12.75">
      <c r="A151" s="25" t="s">
        <v>171</v>
      </c>
      <c r="B151" s="20" t="s">
        <v>68</v>
      </c>
      <c r="C151" s="17" t="s">
        <v>172</v>
      </c>
    </row>
    <row r="152" spans="1:3" ht="12.75">
      <c r="A152" s="25" t="s">
        <v>173</v>
      </c>
      <c r="B152" s="20" t="s">
        <v>68</v>
      </c>
      <c r="C152" s="17" t="s">
        <v>174</v>
      </c>
    </row>
    <row r="153" spans="1:3" ht="12.75">
      <c r="A153" s="25" t="s">
        <v>175</v>
      </c>
      <c r="B153" s="20" t="s">
        <v>68</v>
      </c>
      <c r="C153" s="17" t="s">
        <v>106</v>
      </c>
    </row>
    <row r="154" spans="1:3" ht="12.75">
      <c r="A154" s="25" t="s">
        <v>176</v>
      </c>
      <c r="B154" s="20" t="s">
        <v>68</v>
      </c>
      <c r="C154" s="17" t="s">
        <v>111</v>
      </c>
    </row>
    <row r="155" spans="1:3" ht="12.75">
      <c r="A155" s="25" t="s">
        <v>177</v>
      </c>
      <c r="B155" s="20" t="s">
        <v>68</v>
      </c>
      <c r="C155" s="17" t="s">
        <v>178</v>
      </c>
    </row>
    <row r="156" spans="1:3" ht="12.75">
      <c r="A156" s="25" t="s">
        <v>179</v>
      </c>
      <c r="B156" s="20" t="s">
        <v>68</v>
      </c>
      <c r="C156" s="17" t="s">
        <v>180</v>
      </c>
    </row>
    <row r="157" spans="1:3" ht="12.75">
      <c r="A157" s="25" t="s">
        <v>181</v>
      </c>
      <c r="B157" s="20" t="s">
        <v>68</v>
      </c>
      <c r="C157" s="17" t="s">
        <v>106</v>
      </c>
    </row>
    <row r="158" spans="1:3" ht="12.75">
      <c r="A158" s="25" t="s">
        <v>182</v>
      </c>
      <c r="B158" s="20" t="s">
        <v>68</v>
      </c>
      <c r="C158" s="17" t="s">
        <v>111</v>
      </c>
    </row>
    <row r="159" spans="1:3" ht="12.75">
      <c r="A159" s="25" t="s">
        <v>183</v>
      </c>
      <c r="B159" s="20" t="s">
        <v>68</v>
      </c>
      <c r="C159" s="17" t="s">
        <v>83</v>
      </c>
    </row>
    <row r="160" spans="1:3" ht="12.75">
      <c r="A160" s="25" t="s">
        <v>55</v>
      </c>
      <c r="B160" s="20" t="s">
        <v>68</v>
      </c>
      <c r="C160" s="17" t="s">
        <v>155</v>
      </c>
    </row>
    <row r="161" spans="1:3" ht="12.75">
      <c r="A161" s="25" t="s">
        <v>55</v>
      </c>
      <c r="B161" s="20" t="s">
        <v>68</v>
      </c>
      <c r="C161" s="17" t="s">
        <v>180</v>
      </c>
    </row>
    <row r="162" spans="1:3" ht="12.75">
      <c r="A162" s="25" t="s">
        <v>184</v>
      </c>
      <c r="B162" s="20" t="s">
        <v>68</v>
      </c>
      <c r="C162" s="17" t="s">
        <v>106</v>
      </c>
    </row>
    <row r="163" spans="1:3" ht="12.75">
      <c r="A163" s="25" t="s">
        <v>185</v>
      </c>
      <c r="B163" s="20" t="s">
        <v>68</v>
      </c>
      <c r="C163" s="17" t="s">
        <v>186</v>
      </c>
    </row>
    <row r="164" spans="1:3" ht="12.75">
      <c r="A164" s="25" t="s">
        <v>187</v>
      </c>
      <c r="B164" s="20" t="s">
        <v>68</v>
      </c>
      <c r="C164" s="17" t="s">
        <v>188</v>
      </c>
    </row>
    <row r="165" spans="1:3" ht="12.75">
      <c r="A165" s="25" t="s">
        <v>189</v>
      </c>
      <c r="B165" s="20" t="s">
        <v>68</v>
      </c>
      <c r="C165" s="17" t="s">
        <v>106</v>
      </c>
    </row>
    <row r="166" spans="1:3" ht="12.75">
      <c r="A166" s="25" t="s">
        <v>190</v>
      </c>
      <c r="B166" s="20" t="s">
        <v>68</v>
      </c>
      <c r="C166" s="17" t="s">
        <v>111</v>
      </c>
    </row>
    <row r="167" spans="1:3" ht="12.75">
      <c r="A167" s="25" t="s">
        <v>191</v>
      </c>
      <c r="B167" s="20" t="s">
        <v>68</v>
      </c>
      <c r="C167" s="17" t="s">
        <v>192</v>
      </c>
    </row>
    <row r="168" spans="1:3" ht="12.75">
      <c r="A168" s="25" t="s">
        <v>193</v>
      </c>
      <c r="B168" s="20" t="s">
        <v>68</v>
      </c>
      <c r="C168" s="17" t="s">
        <v>194</v>
      </c>
    </row>
    <row r="169" spans="1:3" ht="12.75">
      <c r="A169" s="25" t="s">
        <v>195</v>
      </c>
      <c r="B169" s="20" t="s">
        <v>68</v>
      </c>
      <c r="C169" s="17" t="s">
        <v>180</v>
      </c>
    </row>
    <row r="170" spans="1:3" ht="12.75">
      <c r="A170" s="25" t="s">
        <v>196</v>
      </c>
      <c r="B170" s="20" t="s">
        <v>68</v>
      </c>
      <c r="C170" s="17" t="s">
        <v>197</v>
      </c>
    </row>
    <row r="171" spans="1:3" ht="12.75">
      <c r="A171" s="25" t="s">
        <v>196</v>
      </c>
      <c r="B171" s="20" t="s">
        <v>68</v>
      </c>
      <c r="C171" s="17" t="s">
        <v>198</v>
      </c>
    </row>
    <row r="172" spans="1:3" ht="25.5">
      <c r="A172" s="25" t="s">
        <v>199</v>
      </c>
      <c r="B172" s="20" t="s">
        <v>68</v>
      </c>
      <c r="C172" s="17" t="s">
        <v>106</v>
      </c>
    </row>
    <row r="173" spans="1:3" ht="12.75">
      <c r="A173" s="25" t="s">
        <v>200</v>
      </c>
      <c r="B173" s="20" t="s">
        <v>68</v>
      </c>
      <c r="C173" s="17" t="s">
        <v>111</v>
      </c>
    </row>
    <row r="174" spans="1:3" ht="12.75">
      <c r="A174" s="25" t="s">
        <v>54</v>
      </c>
      <c r="B174" s="20" t="s">
        <v>68</v>
      </c>
      <c r="C174" s="17" t="s">
        <v>201</v>
      </c>
    </row>
    <row r="175" spans="1:3" ht="12.75">
      <c r="A175" s="25" t="s">
        <v>54</v>
      </c>
      <c r="B175" s="20" t="s">
        <v>68</v>
      </c>
      <c r="C175" s="17" t="s">
        <v>202</v>
      </c>
    </row>
    <row r="176" spans="1:3" ht="12.75">
      <c r="A176" s="25" t="s">
        <v>203</v>
      </c>
      <c r="B176" s="20" t="s">
        <v>68</v>
      </c>
      <c r="C176" s="17" t="s">
        <v>129</v>
      </c>
    </row>
    <row r="177" spans="1:3" ht="12.75">
      <c r="A177" s="25" t="s">
        <v>204</v>
      </c>
      <c r="B177" s="20" t="s">
        <v>68</v>
      </c>
      <c r="C177" s="17" t="s">
        <v>205</v>
      </c>
    </row>
    <row r="178" spans="1:3" ht="12.75">
      <c r="A178" s="25" t="s">
        <v>206</v>
      </c>
      <c r="B178" s="20" t="s">
        <v>68</v>
      </c>
      <c r="C178" s="17" t="s">
        <v>205</v>
      </c>
    </row>
    <row r="179" spans="1:3" ht="12.75">
      <c r="A179" s="25" t="s">
        <v>207</v>
      </c>
      <c r="B179" s="20" t="s">
        <v>68</v>
      </c>
      <c r="C179" s="17" t="s">
        <v>208</v>
      </c>
    </row>
    <row r="180" spans="1:3" ht="12.75">
      <c r="A180" s="25" t="s">
        <v>209</v>
      </c>
      <c r="B180" s="20" t="s">
        <v>68</v>
      </c>
      <c r="C180" s="17" t="s">
        <v>210</v>
      </c>
    </row>
    <row r="181" spans="1:3" ht="12.75">
      <c r="A181" s="25" t="s">
        <v>211</v>
      </c>
      <c r="B181" s="20" t="s">
        <v>68</v>
      </c>
      <c r="C181" s="17" t="s">
        <v>212</v>
      </c>
    </row>
    <row r="182" spans="1:3" ht="12.75">
      <c r="A182" s="25" t="s">
        <v>213</v>
      </c>
      <c r="B182" s="20" t="s">
        <v>68</v>
      </c>
      <c r="C182" s="17" t="s">
        <v>214</v>
      </c>
    </row>
    <row r="183" spans="1:3" ht="12.75">
      <c r="A183" s="25" t="s">
        <v>215</v>
      </c>
      <c r="B183" s="20" t="s">
        <v>68</v>
      </c>
      <c r="C183" s="17" t="s">
        <v>216</v>
      </c>
    </row>
    <row r="184" spans="1:3" ht="12.75">
      <c r="A184" s="25" t="s">
        <v>217</v>
      </c>
      <c r="B184" s="20" t="s">
        <v>68</v>
      </c>
      <c r="C184" s="17" t="s">
        <v>106</v>
      </c>
    </row>
    <row r="185" spans="1:3" ht="12.75">
      <c r="A185" s="25" t="s">
        <v>217</v>
      </c>
      <c r="B185" s="20" t="s">
        <v>68</v>
      </c>
      <c r="C185" s="17" t="s">
        <v>111</v>
      </c>
    </row>
    <row r="186" spans="1:3" ht="12.75">
      <c r="A186" s="25" t="s">
        <v>218</v>
      </c>
      <c r="B186" s="20" t="s">
        <v>68</v>
      </c>
      <c r="C186" s="17" t="s">
        <v>219</v>
      </c>
    </row>
    <row r="187" spans="1:3" ht="12.75">
      <c r="A187" s="25" t="s">
        <v>218</v>
      </c>
      <c r="B187" s="20" t="s">
        <v>68</v>
      </c>
      <c r="C187" s="17" t="s">
        <v>220</v>
      </c>
    </row>
    <row r="188" spans="1:3" ht="12.75">
      <c r="A188" s="25" t="s">
        <v>221</v>
      </c>
      <c r="B188" s="20" t="s">
        <v>68</v>
      </c>
      <c r="C188" s="17" t="s">
        <v>106</v>
      </c>
    </row>
    <row r="189" spans="1:3" ht="12.75">
      <c r="A189" s="25" t="s">
        <v>221</v>
      </c>
      <c r="B189" s="20" t="s">
        <v>68</v>
      </c>
      <c r="C189" s="17" t="s">
        <v>111</v>
      </c>
    </row>
    <row r="190" spans="1:3" ht="12.75">
      <c r="A190" s="25" t="s">
        <v>221</v>
      </c>
      <c r="B190" s="20" t="s">
        <v>68</v>
      </c>
      <c r="C190" s="17" t="s">
        <v>222</v>
      </c>
    </row>
    <row r="191" spans="1:3" ht="12.75">
      <c r="A191" s="25" t="s">
        <v>223</v>
      </c>
      <c r="B191" s="20" t="s">
        <v>68</v>
      </c>
      <c r="C191" s="17" t="s">
        <v>222</v>
      </c>
    </row>
    <row r="192" spans="1:3" ht="12.75">
      <c r="A192" s="25" t="s">
        <v>224</v>
      </c>
      <c r="B192" s="20" t="s">
        <v>68</v>
      </c>
      <c r="C192" s="17" t="s">
        <v>225</v>
      </c>
    </row>
    <row r="193" spans="1:3" ht="12.75">
      <c r="A193" s="25" t="s">
        <v>226</v>
      </c>
      <c r="B193" s="20" t="s">
        <v>68</v>
      </c>
      <c r="C193" s="17" t="s">
        <v>227</v>
      </c>
    </row>
    <row r="194" spans="1:3" ht="12.75">
      <c r="A194" s="25" t="s">
        <v>228</v>
      </c>
      <c r="B194" s="20" t="s">
        <v>68</v>
      </c>
      <c r="C194" s="17" t="s">
        <v>229</v>
      </c>
    </row>
    <row r="195" spans="1:3" ht="12.75">
      <c r="A195" s="25" t="s">
        <v>230</v>
      </c>
      <c r="B195" s="20" t="s">
        <v>68</v>
      </c>
      <c r="C195" s="17" t="s">
        <v>229</v>
      </c>
    </row>
    <row r="196" spans="1:3" ht="12.75">
      <c r="A196" s="25" t="s">
        <v>231</v>
      </c>
      <c r="B196" s="20" t="s">
        <v>68</v>
      </c>
      <c r="C196" s="17" t="s">
        <v>106</v>
      </c>
    </row>
    <row r="197" spans="1:3" ht="12.75">
      <c r="A197" s="25" t="s">
        <v>232</v>
      </c>
      <c r="B197" s="20" t="s">
        <v>68</v>
      </c>
      <c r="C197" s="17" t="s">
        <v>233</v>
      </c>
    </row>
    <row r="198" spans="1:3" ht="12.75">
      <c r="A198" s="25" t="s">
        <v>234</v>
      </c>
      <c r="B198" s="20" t="s">
        <v>68</v>
      </c>
      <c r="C198" s="17" t="s">
        <v>235</v>
      </c>
    </row>
    <row r="199" spans="1:3" ht="12.75">
      <c r="A199" s="25" t="s">
        <v>236</v>
      </c>
      <c r="B199" s="20" t="s">
        <v>68</v>
      </c>
      <c r="C199" s="17" t="s">
        <v>237</v>
      </c>
    </row>
    <row r="200" spans="1:3" ht="12.75">
      <c r="A200" s="25" t="s">
        <v>238</v>
      </c>
      <c r="B200" s="20" t="s">
        <v>68</v>
      </c>
      <c r="C200" s="17" t="s">
        <v>239</v>
      </c>
    </row>
    <row r="201" spans="1:3" ht="12.75">
      <c r="A201" s="25" t="s">
        <v>240</v>
      </c>
      <c r="B201" s="20" t="s">
        <v>68</v>
      </c>
      <c r="C201" s="17" t="s">
        <v>241</v>
      </c>
    </row>
    <row r="202" spans="1:3" ht="12.75">
      <c r="A202" s="25" t="s">
        <v>242</v>
      </c>
      <c r="B202" s="20" t="s">
        <v>68</v>
      </c>
      <c r="C202" s="17" t="s">
        <v>241</v>
      </c>
    </row>
    <row r="203" spans="1:3" ht="12.75">
      <c r="A203" s="25" t="s">
        <v>243</v>
      </c>
      <c r="B203" s="20" t="s">
        <v>68</v>
      </c>
      <c r="C203" s="17" t="s">
        <v>229</v>
      </c>
    </row>
    <row r="204" spans="1:3" ht="12.75">
      <c r="A204" s="25" t="s">
        <v>244</v>
      </c>
      <c r="B204" s="20" t="s">
        <v>68</v>
      </c>
      <c r="C204" s="17" t="s">
        <v>106</v>
      </c>
    </row>
    <row r="205" spans="1:3" ht="12.75">
      <c r="A205" s="25" t="s">
        <v>245</v>
      </c>
      <c r="B205" s="20" t="s">
        <v>68</v>
      </c>
      <c r="C205" s="17" t="s">
        <v>246</v>
      </c>
    </row>
    <row r="206" spans="1:3" ht="12.75">
      <c r="A206" s="25" t="s">
        <v>244</v>
      </c>
      <c r="B206" s="20" t="s">
        <v>68</v>
      </c>
      <c r="C206" s="17" t="s">
        <v>180</v>
      </c>
    </row>
    <row r="207" spans="1:3" ht="12.75">
      <c r="A207" s="25" t="s">
        <v>247</v>
      </c>
      <c r="B207" s="20" t="s">
        <v>68</v>
      </c>
      <c r="C207" s="17" t="s">
        <v>111</v>
      </c>
    </row>
    <row r="208" spans="1:4" ht="29.25" customHeight="1">
      <c r="A208" s="99" t="s">
        <v>248</v>
      </c>
      <c r="B208" s="100"/>
      <c r="C208" s="101"/>
      <c r="D208" s="22"/>
    </row>
    <row r="209" spans="1:3" ht="12.75">
      <c r="A209" s="25" t="s">
        <v>249</v>
      </c>
      <c r="B209" s="20" t="s">
        <v>68</v>
      </c>
      <c r="C209" s="17" t="s">
        <v>250</v>
      </c>
    </row>
    <row r="210" spans="1:3" ht="12.75">
      <c r="A210" s="25" t="s">
        <v>251</v>
      </c>
      <c r="B210" s="20" t="s">
        <v>68</v>
      </c>
      <c r="C210" s="17" t="s">
        <v>252</v>
      </c>
    </row>
    <row r="211" spans="1:3" ht="12.75">
      <c r="A211" s="25" t="s">
        <v>253</v>
      </c>
      <c r="B211" s="20" t="s">
        <v>68</v>
      </c>
      <c r="C211" s="17" t="s">
        <v>254</v>
      </c>
    </row>
    <row r="212" spans="1:3" ht="12.75">
      <c r="A212" s="25" t="s">
        <v>255</v>
      </c>
      <c r="B212" s="20" t="s">
        <v>68</v>
      </c>
      <c r="C212" s="17" t="s">
        <v>252</v>
      </c>
    </row>
    <row r="213" spans="1:3" ht="12.75">
      <c r="A213" s="25" t="s">
        <v>256</v>
      </c>
      <c r="B213" s="20" t="s">
        <v>68</v>
      </c>
      <c r="C213" s="17" t="s">
        <v>252</v>
      </c>
    </row>
    <row r="214" spans="1:3" ht="12.75">
      <c r="A214" s="25" t="s">
        <v>257</v>
      </c>
      <c r="B214" s="20" t="s">
        <v>68</v>
      </c>
      <c r="C214" s="17" t="s">
        <v>258</v>
      </c>
    </row>
    <row r="215" spans="1:3" ht="12.75">
      <c r="A215" s="25" t="s">
        <v>259</v>
      </c>
      <c r="B215" s="20" t="s">
        <v>68</v>
      </c>
      <c r="C215" s="17" t="s">
        <v>252</v>
      </c>
    </row>
    <row r="216" spans="1:3" ht="12.75">
      <c r="A216" s="25" t="s">
        <v>260</v>
      </c>
      <c r="B216" s="20" t="s">
        <v>68</v>
      </c>
      <c r="C216" s="17" t="s">
        <v>261</v>
      </c>
    </row>
    <row r="217" spans="1:3" ht="12.75">
      <c r="A217" s="25" t="s">
        <v>262</v>
      </c>
      <c r="B217" s="20" t="s">
        <v>68</v>
      </c>
      <c r="C217" s="17" t="s">
        <v>263</v>
      </c>
    </row>
    <row r="218" spans="1:3" ht="12.75">
      <c r="A218" s="25" t="s">
        <v>264</v>
      </c>
      <c r="B218" s="20" t="s">
        <v>68</v>
      </c>
      <c r="C218" s="17" t="s">
        <v>252</v>
      </c>
    </row>
    <row r="219" spans="1:3" ht="12.75">
      <c r="A219" s="25" t="s">
        <v>265</v>
      </c>
      <c r="B219" s="20" t="s">
        <v>68</v>
      </c>
      <c r="C219" s="17" t="s">
        <v>266</v>
      </c>
    </row>
    <row r="220" spans="1:3" ht="12.75">
      <c r="A220" s="25" t="s">
        <v>267</v>
      </c>
      <c r="B220" s="20" t="s">
        <v>68</v>
      </c>
      <c r="C220" s="17" t="s">
        <v>268</v>
      </c>
    </row>
    <row r="221" spans="1:3" ht="12.75">
      <c r="A221" s="25" t="s">
        <v>267</v>
      </c>
      <c r="B221" s="20" t="s">
        <v>68</v>
      </c>
      <c r="C221" s="17" t="s">
        <v>266</v>
      </c>
    </row>
    <row r="222" spans="1:3" ht="12.75">
      <c r="A222" s="25" t="s">
        <v>269</v>
      </c>
      <c r="B222" s="20" t="s">
        <v>68</v>
      </c>
      <c r="C222" s="17" t="s">
        <v>250</v>
      </c>
    </row>
    <row r="223" spans="1:3" ht="12.75">
      <c r="A223" s="25" t="s">
        <v>270</v>
      </c>
      <c r="B223" s="20" t="s">
        <v>68</v>
      </c>
      <c r="C223" s="17" t="s">
        <v>271</v>
      </c>
    </row>
    <row r="224" spans="1:3" ht="12.75">
      <c r="A224" s="25" t="s">
        <v>270</v>
      </c>
      <c r="B224" s="20" t="s">
        <v>68</v>
      </c>
      <c r="C224" s="17" t="s">
        <v>272</v>
      </c>
    </row>
    <row r="225" spans="1:4" ht="27.75" customHeight="1">
      <c r="A225" s="99" t="s">
        <v>273</v>
      </c>
      <c r="B225" s="100"/>
      <c r="C225" s="101"/>
      <c r="D225" s="22"/>
    </row>
    <row r="226" spans="1:3" ht="12.75">
      <c r="A226" s="25" t="s">
        <v>274</v>
      </c>
      <c r="B226" s="20" t="s">
        <v>68</v>
      </c>
      <c r="C226" s="17" t="s">
        <v>275</v>
      </c>
    </row>
    <row r="227" spans="1:3" ht="12.75">
      <c r="A227" s="25" t="s">
        <v>276</v>
      </c>
      <c r="B227" s="20" t="s">
        <v>68</v>
      </c>
      <c r="C227" s="17" t="s">
        <v>277</v>
      </c>
    </row>
    <row r="228" spans="1:3" ht="12.75">
      <c r="A228" s="25" t="s">
        <v>278</v>
      </c>
      <c r="B228" s="20" t="s">
        <v>68</v>
      </c>
      <c r="C228" s="17" t="s">
        <v>275</v>
      </c>
    </row>
    <row r="229" spans="1:3" ht="12.75">
      <c r="A229" s="25" t="s">
        <v>279</v>
      </c>
      <c r="B229" s="20" t="s">
        <v>68</v>
      </c>
      <c r="C229" s="17" t="s">
        <v>277</v>
      </c>
    </row>
    <row r="230" spans="1:3" ht="12.75">
      <c r="A230" s="25" t="s">
        <v>280</v>
      </c>
      <c r="B230" s="20" t="s">
        <v>68</v>
      </c>
      <c r="C230" s="17" t="s">
        <v>275</v>
      </c>
    </row>
    <row r="231" spans="1:3" ht="12.75">
      <c r="A231" s="25" t="s">
        <v>281</v>
      </c>
      <c r="B231" s="20" t="s">
        <v>68</v>
      </c>
      <c r="C231" s="17" t="s">
        <v>275</v>
      </c>
    </row>
    <row r="232" spans="1:3" ht="12.75">
      <c r="A232" s="25" t="s">
        <v>282</v>
      </c>
      <c r="B232" s="20" t="s">
        <v>68</v>
      </c>
      <c r="C232" s="17" t="s">
        <v>275</v>
      </c>
    </row>
    <row r="233" spans="1:4" ht="30" customHeight="1">
      <c r="A233" s="99" t="s">
        <v>283</v>
      </c>
      <c r="B233" s="100"/>
      <c r="C233" s="101"/>
      <c r="D233" s="22"/>
    </row>
    <row r="234" spans="1:3" ht="12.75">
      <c r="A234" s="25" t="s">
        <v>284</v>
      </c>
      <c r="B234" s="20" t="s">
        <v>68</v>
      </c>
      <c r="C234" s="17" t="s">
        <v>285</v>
      </c>
    </row>
    <row r="235" spans="1:3" ht="12.75">
      <c r="A235" s="25" t="s">
        <v>286</v>
      </c>
      <c r="B235" s="20" t="s">
        <v>68</v>
      </c>
      <c r="C235" s="17" t="s">
        <v>287</v>
      </c>
    </row>
    <row r="236" spans="1:3" ht="12.75">
      <c r="A236" s="25" t="s">
        <v>59</v>
      </c>
      <c r="B236" s="20" t="s">
        <v>68</v>
      </c>
      <c r="C236" s="17" t="s">
        <v>288</v>
      </c>
    </row>
    <row r="237" spans="1:3" ht="12.75">
      <c r="A237" s="25" t="s">
        <v>289</v>
      </c>
      <c r="B237" s="20" t="s">
        <v>68</v>
      </c>
      <c r="C237" s="17" t="s">
        <v>290</v>
      </c>
    </row>
    <row r="238" spans="1:3" ht="12.75">
      <c r="A238" s="25" t="s">
        <v>291</v>
      </c>
      <c r="B238" s="20" t="s">
        <v>68</v>
      </c>
      <c r="C238" s="17" t="s">
        <v>287</v>
      </c>
    </row>
    <row r="239" spans="1:3" ht="12.75">
      <c r="A239" s="25" t="s">
        <v>284</v>
      </c>
      <c r="B239" s="20" t="s">
        <v>68</v>
      </c>
      <c r="C239" s="17" t="s">
        <v>292</v>
      </c>
    </row>
    <row r="240" spans="1:3" ht="12.75">
      <c r="A240" s="25" t="s">
        <v>293</v>
      </c>
      <c r="B240" s="20" t="s">
        <v>68</v>
      </c>
      <c r="C240" s="17" t="s">
        <v>294</v>
      </c>
    </row>
    <row r="241" spans="1:3" ht="12.75">
      <c r="A241" s="25" t="s">
        <v>295</v>
      </c>
      <c r="B241" s="20" t="s">
        <v>68</v>
      </c>
      <c r="C241" s="17" t="s">
        <v>292</v>
      </c>
    </row>
    <row r="242" spans="1:3" ht="12.75">
      <c r="A242" s="25" t="s">
        <v>296</v>
      </c>
      <c r="B242" s="20" t="s">
        <v>68</v>
      </c>
      <c r="C242" s="17" t="s">
        <v>297</v>
      </c>
    </row>
    <row r="243" spans="1:3" ht="12.75">
      <c r="A243" s="25" t="s">
        <v>293</v>
      </c>
      <c r="B243" s="20" t="s">
        <v>68</v>
      </c>
      <c r="C243" s="17" t="s">
        <v>297</v>
      </c>
    </row>
    <row r="244" spans="1:3" ht="12.75">
      <c r="A244" s="25" t="s">
        <v>298</v>
      </c>
      <c r="B244" s="20" t="s">
        <v>68</v>
      </c>
      <c r="C244" s="17" t="s">
        <v>297</v>
      </c>
    </row>
    <row r="245" spans="1:3" ht="12.75">
      <c r="A245" s="25" t="s">
        <v>299</v>
      </c>
      <c r="B245" s="20" t="s">
        <v>68</v>
      </c>
      <c r="C245" s="17" t="s">
        <v>300</v>
      </c>
    </row>
    <row r="246" spans="1:3" ht="12.75">
      <c r="A246" s="25" t="s">
        <v>301</v>
      </c>
      <c r="B246" s="20" t="s">
        <v>68</v>
      </c>
      <c r="C246" s="17" t="s">
        <v>302</v>
      </c>
    </row>
    <row r="247" spans="1:4" ht="29.25" customHeight="1">
      <c r="A247" s="99" t="s">
        <v>303</v>
      </c>
      <c r="B247" s="100"/>
      <c r="C247" s="101"/>
      <c r="D247" s="22"/>
    </row>
    <row r="248" spans="1:3" ht="12.75">
      <c r="A248" s="25" t="s">
        <v>304</v>
      </c>
      <c r="B248" s="20" t="s">
        <v>68</v>
      </c>
      <c r="C248" s="17" t="s">
        <v>106</v>
      </c>
    </row>
    <row r="249" spans="1:3" ht="12.75">
      <c r="A249" s="25" t="s">
        <v>305</v>
      </c>
      <c r="B249" s="20" t="s">
        <v>68</v>
      </c>
      <c r="C249" s="17" t="s">
        <v>110</v>
      </c>
    </row>
    <row r="250" spans="1:3" ht="25.5">
      <c r="A250" s="25" t="s">
        <v>306</v>
      </c>
      <c r="B250" s="20" t="s">
        <v>68</v>
      </c>
      <c r="C250" s="17" t="s">
        <v>106</v>
      </c>
    </row>
    <row r="251" spans="1:3" ht="12.75">
      <c r="A251" s="25" t="s">
        <v>56</v>
      </c>
      <c r="B251" s="20" t="s">
        <v>68</v>
      </c>
      <c r="C251" s="17" t="s">
        <v>111</v>
      </c>
    </row>
    <row r="252" spans="1:3" ht="12.75">
      <c r="A252" s="25" t="s">
        <v>307</v>
      </c>
      <c r="B252" s="20" t="s">
        <v>68</v>
      </c>
      <c r="C252" s="17" t="s">
        <v>308</v>
      </c>
    </row>
    <row r="253" spans="1:3" ht="12.75">
      <c r="A253" s="25" t="s">
        <v>309</v>
      </c>
      <c r="B253" s="20" t="s">
        <v>68</v>
      </c>
      <c r="C253" s="17" t="s">
        <v>110</v>
      </c>
    </row>
    <row r="254" spans="1:3" ht="12.75">
      <c r="A254" s="25" t="s">
        <v>309</v>
      </c>
      <c r="B254" s="20" t="s">
        <v>68</v>
      </c>
      <c r="C254" s="17" t="s">
        <v>111</v>
      </c>
    </row>
    <row r="255" spans="1:3" ht="12.75">
      <c r="A255" s="25" t="s">
        <v>310</v>
      </c>
      <c r="B255" s="20" t="s">
        <v>68</v>
      </c>
      <c r="C255" s="17" t="s">
        <v>157</v>
      </c>
    </row>
    <row r="256" spans="1:3" ht="12.75">
      <c r="A256" s="25" t="s">
        <v>311</v>
      </c>
      <c r="B256" s="20" t="s">
        <v>68</v>
      </c>
      <c r="C256" s="17" t="s">
        <v>106</v>
      </c>
    </row>
    <row r="257" spans="1:3" ht="12.75">
      <c r="A257" s="25" t="s">
        <v>312</v>
      </c>
      <c r="B257" s="20" t="s">
        <v>68</v>
      </c>
      <c r="C257" s="17" t="s">
        <v>178</v>
      </c>
    </row>
    <row r="258" spans="1:3" ht="12.75">
      <c r="A258" s="25" t="s">
        <v>311</v>
      </c>
      <c r="B258" s="20" t="s">
        <v>68</v>
      </c>
      <c r="C258" s="17" t="s">
        <v>111</v>
      </c>
    </row>
    <row r="259" spans="1:3" ht="12.75">
      <c r="A259" s="25" t="s">
        <v>313</v>
      </c>
      <c r="B259" s="20" t="s">
        <v>68</v>
      </c>
      <c r="C259" s="17" t="s">
        <v>314</v>
      </c>
    </row>
    <row r="260" spans="1:3" ht="12.75">
      <c r="A260" s="25" t="s">
        <v>315</v>
      </c>
      <c r="B260" s="20" t="s">
        <v>68</v>
      </c>
      <c r="C260" s="17" t="s">
        <v>155</v>
      </c>
    </row>
    <row r="261" spans="1:3" ht="12.75">
      <c r="A261" s="25" t="s">
        <v>316</v>
      </c>
      <c r="B261" s="20" t="s">
        <v>68</v>
      </c>
      <c r="C261" s="17" t="s">
        <v>180</v>
      </c>
    </row>
    <row r="262" spans="1:3" ht="12.75">
      <c r="A262" s="25" t="s">
        <v>316</v>
      </c>
      <c r="B262" s="20" t="s">
        <v>68</v>
      </c>
      <c r="C262" s="17" t="s">
        <v>317</v>
      </c>
    </row>
    <row r="263" spans="1:3" ht="12.75">
      <c r="A263" s="25" t="s">
        <v>313</v>
      </c>
      <c r="B263" s="20" t="s">
        <v>68</v>
      </c>
      <c r="C263" s="17" t="s">
        <v>317</v>
      </c>
    </row>
    <row r="264" spans="1:3" ht="12.75">
      <c r="A264" s="25" t="s">
        <v>318</v>
      </c>
      <c r="B264" s="20" t="s">
        <v>68</v>
      </c>
      <c r="C264" s="17" t="s">
        <v>106</v>
      </c>
    </row>
    <row r="265" spans="1:3" ht="12.75">
      <c r="A265" s="25" t="s">
        <v>318</v>
      </c>
      <c r="B265" s="20" t="s">
        <v>68</v>
      </c>
      <c r="C265" s="17" t="s">
        <v>111</v>
      </c>
    </row>
    <row r="266" spans="1:3" ht="12.75">
      <c r="A266" s="25" t="s">
        <v>319</v>
      </c>
      <c r="B266" s="20" t="s">
        <v>68</v>
      </c>
      <c r="C266" s="17" t="s">
        <v>155</v>
      </c>
    </row>
    <row r="267" spans="1:3" ht="12.75">
      <c r="A267" s="25" t="s">
        <v>320</v>
      </c>
      <c r="B267" s="20" t="s">
        <v>68</v>
      </c>
      <c r="C267" s="17" t="s">
        <v>321</v>
      </c>
    </row>
    <row r="268" spans="1:3" ht="12.75">
      <c r="A268" s="25" t="s">
        <v>320</v>
      </c>
      <c r="B268" s="20" t="s">
        <v>68</v>
      </c>
      <c r="C268" s="17" t="s">
        <v>180</v>
      </c>
    </row>
    <row r="269" spans="1:3" ht="12.75">
      <c r="A269" s="25" t="s">
        <v>322</v>
      </c>
      <c r="B269" s="20" t="s">
        <v>68</v>
      </c>
      <c r="C269" s="17" t="s">
        <v>180</v>
      </c>
    </row>
    <row r="270" spans="1:3" ht="12.75">
      <c r="A270" s="25" t="s">
        <v>323</v>
      </c>
      <c r="B270" s="20" t="s">
        <v>68</v>
      </c>
      <c r="C270" s="17" t="s">
        <v>106</v>
      </c>
    </row>
    <row r="271" spans="1:3" ht="12.75">
      <c r="A271" s="25" t="s">
        <v>323</v>
      </c>
      <c r="B271" s="20" t="s">
        <v>68</v>
      </c>
      <c r="C271" s="17" t="s">
        <v>111</v>
      </c>
    </row>
    <row r="272" spans="1:3" ht="12.75">
      <c r="A272" s="25" t="s">
        <v>324</v>
      </c>
      <c r="B272" s="20" t="s">
        <v>68</v>
      </c>
      <c r="C272" s="17" t="s">
        <v>155</v>
      </c>
    </row>
    <row r="273" spans="1:3" ht="12.75">
      <c r="A273" s="25" t="s">
        <v>63</v>
      </c>
      <c r="B273" s="20" t="s">
        <v>68</v>
      </c>
      <c r="C273" s="17" t="s">
        <v>180</v>
      </c>
    </row>
    <row r="274" spans="1:3" ht="12.75">
      <c r="A274" s="25" t="s">
        <v>325</v>
      </c>
      <c r="B274" s="20" t="s">
        <v>68</v>
      </c>
      <c r="C274" s="17" t="s">
        <v>106</v>
      </c>
    </row>
    <row r="275" spans="1:3" ht="12.75">
      <c r="A275" s="25" t="s">
        <v>326</v>
      </c>
      <c r="B275" s="20" t="s">
        <v>68</v>
      </c>
      <c r="C275" s="17" t="s">
        <v>106</v>
      </c>
    </row>
    <row r="276" spans="1:3" ht="12.75">
      <c r="A276" s="25" t="s">
        <v>326</v>
      </c>
      <c r="B276" s="20" t="s">
        <v>68</v>
      </c>
      <c r="C276" s="17" t="s">
        <v>111</v>
      </c>
    </row>
    <row r="277" spans="1:3" ht="12.75">
      <c r="A277" s="25" t="s">
        <v>327</v>
      </c>
      <c r="B277" s="20" t="s">
        <v>68</v>
      </c>
      <c r="C277" s="17" t="s">
        <v>106</v>
      </c>
    </row>
    <row r="278" spans="1:3" ht="12.75">
      <c r="A278" s="25" t="s">
        <v>328</v>
      </c>
      <c r="B278" s="20" t="s">
        <v>68</v>
      </c>
      <c r="C278" s="17" t="s">
        <v>329</v>
      </c>
    </row>
    <row r="279" spans="1:3" ht="12.75">
      <c r="A279" s="25" t="s">
        <v>330</v>
      </c>
      <c r="B279" s="20" t="s">
        <v>68</v>
      </c>
      <c r="C279" s="17" t="s">
        <v>331</v>
      </c>
    </row>
    <row r="280" spans="1:3" ht="12.75">
      <c r="A280" s="25" t="s">
        <v>330</v>
      </c>
      <c r="B280" s="20" t="s">
        <v>68</v>
      </c>
      <c r="C280" s="17" t="s">
        <v>332</v>
      </c>
    </row>
    <row r="281" spans="1:3" ht="12.75">
      <c r="A281" s="25" t="s">
        <v>333</v>
      </c>
      <c r="B281" s="20" t="s">
        <v>68</v>
      </c>
      <c r="C281" s="17" t="s">
        <v>334</v>
      </c>
    </row>
    <row r="282" spans="1:3" ht="12.75">
      <c r="A282" s="25" t="s">
        <v>335</v>
      </c>
      <c r="B282" s="20" t="s">
        <v>68</v>
      </c>
      <c r="C282" s="17" t="s">
        <v>106</v>
      </c>
    </row>
    <row r="283" spans="1:3" ht="12.75">
      <c r="A283" s="25" t="s">
        <v>336</v>
      </c>
      <c r="B283" s="20" t="s">
        <v>68</v>
      </c>
      <c r="C283" s="17" t="s">
        <v>337</v>
      </c>
    </row>
    <row r="284" spans="1:3" ht="12.75">
      <c r="A284" s="25" t="s">
        <v>338</v>
      </c>
      <c r="B284" s="20" t="s">
        <v>68</v>
      </c>
      <c r="C284" s="17" t="s">
        <v>106</v>
      </c>
    </row>
    <row r="285" spans="1:3" ht="12.75">
      <c r="A285" s="25" t="s">
        <v>338</v>
      </c>
      <c r="B285" s="20" t="s">
        <v>68</v>
      </c>
      <c r="C285" s="17" t="s">
        <v>111</v>
      </c>
    </row>
    <row r="286" spans="1:3" ht="12.75">
      <c r="A286" s="25" t="s">
        <v>339</v>
      </c>
      <c r="B286" s="20" t="s">
        <v>68</v>
      </c>
      <c r="C286" s="17" t="s">
        <v>340</v>
      </c>
    </row>
    <row r="287" spans="1:3" ht="12.75">
      <c r="A287" s="25" t="s">
        <v>60</v>
      </c>
      <c r="B287" s="20" t="s">
        <v>68</v>
      </c>
      <c r="C287" s="17" t="s">
        <v>106</v>
      </c>
    </row>
    <row r="288" spans="1:3" ht="12.75">
      <c r="A288" s="25" t="s">
        <v>60</v>
      </c>
      <c r="B288" s="20" t="s">
        <v>68</v>
      </c>
      <c r="C288" s="17" t="s">
        <v>111</v>
      </c>
    </row>
    <row r="289" spans="1:3" ht="12.75">
      <c r="A289" s="25" t="s">
        <v>60</v>
      </c>
      <c r="B289" s="20" t="s">
        <v>68</v>
      </c>
      <c r="C289" s="17" t="s">
        <v>180</v>
      </c>
    </row>
    <row r="290" spans="1:3" ht="12.75">
      <c r="A290" s="25" t="s">
        <v>341</v>
      </c>
      <c r="B290" s="20" t="s">
        <v>68</v>
      </c>
      <c r="C290" s="17" t="s">
        <v>106</v>
      </c>
    </row>
    <row r="291" spans="1:3" ht="12.75">
      <c r="A291" s="25" t="s">
        <v>342</v>
      </c>
      <c r="B291" s="20" t="s">
        <v>68</v>
      </c>
      <c r="C291" s="17" t="s">
        <v>111</v>
      </c>
    </row>
    <row r="292" spans="1:3" ht="12.75">
      <c r="A292" s="25" t="s">
        <v>343</v>
      </c>
      <c r="B292" s="20" t="s">
        <v>68</v>
      </c>
      <c r="C292" s="17" t="s">
        <v>344</v>
      </c>
    </row>
    <row r="293" spans="1:3" ht="12.75">
      <c r="A293" s="25" t="s">
        <v>345</v>
      </c>
      <c r="B293" s="20" t="s">
        <v>68</v>
      </c>
      <c r="C293" s="17" t="s">
        <v>346</v>
      </c>
    </row>
    <row r="294" spans="1:3" ht="12.75">
      <c r="A294" s="25" t="s">
        <v>347</v>
      </c>
      <c r="B294" s="20" t="s">
        <v>68</v>
      </c>
      <c r="C294" s="17" t="s">
        <v>106</v>
      </c>
    </row>
    <row r="295" spans="1:3" ht="12.75">
      <c r="A295" s="25" t="s">
        <v>348</v>
      </c>
      <c r="B295" s="20" t="s">
        <v>68</v>
      </c>
      <c r="C295" s="17" t="s">
        <v>111</v>
      </c>
    </row>
    <row r="296" spans="1:3" ht="12.75">
      <c r="A296" s="25" t="s">
        <v>349</v>
      </c>
      <c r="B296" s="20" t="s">
        <v>68</v>
      </c>
      <c r="C296" s="17" t="s">
        <v>106</v>
      </c>
    </row>
    <row r="297" spans="1:3" ht="12.75">
      <c r="A297" s="25" t="s">
        <v>350</v>
      </c>
      <c r="B297" s="20" t="s">
        <v>68</v>
      </c>
      <c r="C297" s="17" t="s">
        <v>91</v>
      </c>
    </row>
    <row r="298" spans="1:3" ht="12.75">
      <c r="A298" s="25" t="s">
        <v>351</v>
      </c>
      <c r="B298" s="20" t="s">
        <v>68</v>
      </c>
      <c r="C298" s="17" t="s">
        <v>106</v>
      </c>
    </row>
    <row r="299" spans="1:3" ht="12.75">
      <c r="A299" s="25" t="s">
        <v>352</v>
      </c>
      <c r="B299" s="20" t="s">
        <v>68</v>
      </c>
      <c r="C299" s="17" t="s">
        <v>106</v>
      </c>
    </row>
    <row r="300" spans="1:3" ht="12.75">
      <c r="A300" s="25" t="s">
        <v>352</v>
      </c>
      <c r="B300" s="20" t="s">
        <v>68</v>
      </c>
      <c r="C300" s="17" t="s">
        <v>111</v>
      </c>
    </row>
    <row r="301" spans="1:3" ht="12.75">
      <c r="A301" s="25" t="s">
        <v>352</v>
      </c>
      <c r="B301" s="20" t="s">
        <v>68</v>
      </c>
      <c r="C301" s="17" t="s">
        <v>180</v>
      </c>
    </row>
    <row r="302" spans="1:3" ht="12.75">
      <c r="A302" s="25" t="s">
        <v>353</v>
      </c>
      <c r="B302" s="20" t="s">
        <v>68</v>
      </c>
      <c r="C302" s="17" t="s">
        <v>106</v>
      </c>
    </row>
    <row r="303" spans="1:3" ht="12.75">
      <c r="A303" s="25" t="s">
        <v>353</v>
      </c>
      <c r="B303" s="20" t="s">
        <v>68</v>
      </c>
      <c r="C303" s="17" t="s">
        <v>111</v>
      </c>
    </row>
    <row r="304" spans="1:3" ht="12.75">
      <c r="A304" s="25" t="s">
        <v>354</v>
      </c>
      <c r="B304" s="20" t="s">
        <v>68</v>
      </c>
      <c r="C304" s="17" t="s">
        <v>346</v>
      </c>
    </row>
    <row r="305" spans="1:3" ht="12.75">
      <c r="A305" s="25" t="s">
        <v>355</v>
      </c>
      <c r="B305" s="20" t="s">
        <v>68</v>
      </c>
      <c r="C305" s="17" t="s">
        <v>346</v>
      </c>
    </row>
    <row r="306" spans="1:4" ht="33.75" customHeight="1">
      <c r="A306" s="99" t="s">
        <v>356</v>
      </c>
      <c r="B306" s="100"/>
      <c r="C306" s="101"/>
      <c r="D306" s="22"/>
    </row>
    <row r="307" spans="1:3" ht="12.75">
      <c r="A307" s="25" t="s">
        <v>357</v>
      </c>
      <c r="B307" s="20" t="s">
        <v>68</v>
      </c>
      <c r="C307" s="17" t="s">
        <v>358</v>
      </c>
    </row>
    <row r="308" spans="1:3" ht="12.75">
      <c r="A308" s="25" t="s">
        <v>359</v>
      </c>
      <c r="B308" s="20" t="s">
        <v>68</v>
      </c>
      <c r="C308" s="17" t="s">
        <v>360</v>
      </c>
    </row>
    <row r="309" spans="1:3" ht="12.75">
      <c r="A309" s="25" t="s">
        <v>12</v>
      </c>
      <c r="B309" s="20" t="s">
        <v>68</v>
      </c>
      <c r="C309" s="17" t="s">
        <v>360</v>
      </c>
    </row>
    <row r="310" spans="1:3" ht="12.75">
      <c r="A310" s="25" t="s">
        <v>12</v>
      </c>
      <c r="B310" s="20" t="s">
        <v>68</v>
      </c>
      <c r="C310" s="17" t="s">
        <v>361</v>
      </c>
    </row>
    <row r="311" spans="1:3" ht="12.75">
      <c r="A311" s="25" t="s">
        <v>362</v>
      </c>
      <c r="B311" s="20" t="s">
        <v>68</v>
      </c>
      <c r="C311" s="17" t="s">
        <v>360</v>
      </c>
    </row>
    <row r="312" spans="1:3" ht="12.75">
      <c r="A312" s="25" t="s">
        <v>363</v>
      </c>
      <c r="B312" s="20" t="s">
        <v>68</v>
      </c>
      <c r="C312" s="17" t="s">
        <v>360</v>
      </c>
    </row>
    <row r="313" spans="1:3" ht="12.75">
      <c r="A313" s="25" t="s">
        <v>363</v>
      </c>
      <c r="B313" s="20" t="s">
        <v>68</v>
      </c>
      <c r="C313" s="17" t="s">
        <v>361</v>
      </c>
    </row>
    <row r="314" spans="1:3" ht="12.75">
      <c r="A314" s="25" t="s">
        <v>39</v>
      </c>
      <c r="B314" s="20" t="s">
        <v>68</v>
      </c>
      <c r="C314" s="17" t="s">
        <v>360</v>
      </c>
    </row>
    <row r="315" spans="1:3" ht="12.75">
      <c r="A315" s="25" t="s">
        <v>364</v>
      </c>
      <c r="B315" s="20" t="s">
        <v>68</v>
      </c>
      <c r="C315" s="17" t="s">
        <v>365</v>
      </c>
    </row>
    <row r="316" spans="1:3" ht="12.75">
      <c r="A316" s="25" t="s">
        <v>7</v>
      </c>
      <c r="B316" s="20" t="s">
        <v>68</v>
      </c>
      <c r="C316" s="17" t="s">
        <v>360</v>
      </c>
    </row>
    <row r="317" spans="1:3" ht="12.75">
      <c r="A317" s="25" t="s">
        <v>19</v>
      </c>
      <c r="B317" s="20" t="s">
        <v>68</v>
      </c>
      <c r="C317" s="17" t="s">
        <v>360</v>
      </c>
    </row>
    <row r="318" spans="1:3" ht="12.75">
      <c r="A318" s="25" t="s">
        <v>3</v>
      </c>
      <c r="B318" s="16" t="s">
        <v>68</v>
      </c>
      <c r="C318" s="17" t="s">
        <v>360</v>
      </c>
    </row>
    <row r="319" spans="1:5" ht="19.5" customHeight="1">
      <c r="A319" s="87" t="s">
        <v>366</v>
      </c>
      <c r="B319" s="87"/>
      <c r="C319" s="87"/>
      <c r="D319" s="2"/>
      <c r="E319" s="2"/>
    </row>
    <row r="320" spans="1:6" ht="28.5" customHeight="1">
      <c r="A320" s="9" t="s">
        <v>0</v>
      </c>
      <c r="B320" s="11" t="s">
        <v>23</v>
      </c>
      <c r="C320" s="9" t="s">
        <v>24</v>
      </c>
      <c r="D320" s="5"/>
      <c r="E320" s="2"/>
      <c r="F320" s="2"/>
    </row>
    <row r="321" spans="1:4" ht="33" customHeight="1">
      <c r="A321" s="99" t="s">
        <v>66</v>
      </c>
      <c r="B321" s="100"/>
      <c r="C321" s="101"/>
      <c r="D321" s="22"/>
    </row>
    <row r="322" spans="1:3" ht="12.75">
      <c r="A322" s="26" t="s">
        <v>70</v>
      </c>
      <c r="B322" s="27" t="s">
        <v>367</v>
      </c>
      <c r="C322" s="27" t="s">
        <v>71</v>
      </c>
    </row>
    <row r="323" spans="1:3" ht="12.75">
      <c r="A323" s="25">
        <v>35</v>
      </c>
      <c r="B323" s="27" t="s">
        <v>367</v>
      </c>
      <c r="C323" s="27" t="s">
        <v>368</v>
      </c>
    </row>
    <row r="324" spans="1:3" ht="12.75">
      <c r="A324" s="25">
        <v>35</v>
      </c>
      <c r="B324" s="27" t="s">
        <v>367</v>
      </c>
      <c r="C324" s="27" t="s">
        <v>369</v>
      </c>
    </row>
    <row r="325" spans="1:3" ht="12.75">
      <c r="A325" s="25">
        <v>45</v>
      </c>
      <c r="B325" s="27" t="s">
        <v>367</v>
      </c>
      <c r="C325" s="27" t="s">
        <v>88</v>
      </c>
    </row>
    <row r="326" spans="1:3" ht="12.75">
      <c r="A326" s="25">
        <v>45</v>
      </c>
      <c r="B326" s="27" t="s">
        <v>367</v>
      </c>
      <c r="C326" s="27" t="s">
        <v>89</v>
      </c>
    </row>
    <row r="327" spans="1:3" ht="12.75">
      <c r="A327" s="25" t="s">
        <v>370</v>
      </c>
      <c r="B327" s="27" t="s">
        <v>367</v>
      </c>
      <c r="C327" s="27" t="s">
        <v>91</v>
      </c>
    </row>
    <row r="328" spans="1:3" ht="12.75">
      <c r="A328" s="25" t="s">
        <v>371</v>
      </c>
      <c r="B328" s="27" t="s">
        <v>367</v>
      </c>
      <c r="C328" s="27" t="s">
        <v>372</v>
      </c>
    </row>
    <row r="329" spans="1:3" ht="12.75">
      <c r="A329" s="25" t="s">
        <v>373</v>
      </c>
      <c r="B329" s="27" t="s">
        <v>367</v>
      </c>
      <c r="C329" s="27" t="s">
        <v>374</v>
      </c>
    </row>
    <row r="330" spans="1:4" ht="29.25" customHeight="1">
      <c r="A330" s="99" t="s">
        <v>104</v>
      </c>
      <c r="B330" s="100"/>
      <c r="C330" s="101"/>
      <c r="D330" s="22"/>
    </row>
    <row r="331" spans="1:3" ht="12.75">
      <c r="A331" s="25" t="s">
        <v>375</v>
      </c>
      <c r="B331" s="27" t="s">
        <v>367</v>
      </c>
      <c r="C331" s="27" t="s">
        <v>376</v>
      </c>
    </row>
    <row r="332" spans="1:3" ht="12.75">
      <c r="A332" s="25" t="s">
        <v>377</v>
      </c>
      <c r="B332" s="27" t="s">
        <v>367</v>
      </c>
      <c r="C332" s="27" t="s">
        <v>106</v>
      </c>
    </row>
    <row r="333" spans="1:3" ht="12.75">
      <c r="A333" s="25" t="s">
        <v>378</v>
      </c>
      <c r="B333" s="27" t="s">
        <v>367</v>
      </c>
      <c r="C333" s="27" t="s">
        <v>106</v>
      </c>
    </row>
    <row r="334" spans="1:3" ht="12.75">
      <c r="A334" s="25" t="s">
        <v>379</v>
      </c>
      <c r="B334" s="27" t="s">
        <v>367</v>
      </c>
      <c r="C334" s="27" t="s">
        <v>380</v>
      </c>
    </row>
    <row r="335" spans="1:3" ht="12.75">
      <c r="A335" s="25" t="s">
        <v>121</v>
      </c>
      <c r="B335" s="27" t="s">
        <v>367</v>
      </c>
      <c r="C335" s="27" t="s">
        <v>381</v>
      </c>
    </row>
    <row r="336" spans="1:3" ht="12.75">
      <c r="A336" s="25" t="s">
        <v>53</v>
      </c>
      <c r="B336" s="27" t="s">
        <v>367</v>
      </c>
      <c r="C336" s="27" t="s">
        <v>382</v>
      </c>
    </row>
    <row r="337" spans="1:3" ht="12.75">
      <c r="A337" s="25" t="s">
        <v>383</v>
      </c>
      <c r="B337" s="27" t="s">
        <v>367</v>
      </c>
      <c r="C337" s="27" t="s">
        <v>106</v>
      </c>
    </row>
    <row r="338" spans="1:3" ht="12.75">
      <c r="A338" s="25" t="s">
        <v>384</v>
      </c>
      <c r="B338" s="27" t="s">
        <v>367</v>
      </c>
      <c r="C338" s="27" t="s">
        <v>91</v>
      </c>
    </row>
    <row r="339" spans="1:3" ht="12.75">
      <c r="A339" s="25" t="s">
        <v>385</v>
      </c>
      <c r="B339" s="27" t="s">
        <v>367</v>
      </c>
      <c r="C339" s="27" t="s">
        <v>180</v>
      </c>
    </row>
    <row r="340" spans="1:3" ht="12.75">
      <c r="A340" s="25" t="s">
        <v>386</v>
      </c>
      <c r="B340" s="27" t="s">
        <v>367</v>
      </c>
      <c r="C340" s="27" t="s">
        <v>387</v>
      </c>
    </row>
    <row r="341" spans="1:3" ht="12.75">
      <c r="A341" s="25" t="s">
        <v>388</v>
      </c>
      <c r="B341" s="27" t="s">
        <v>367</v>
      </c>
      <c r="C341" s="27" t="s">
        <v>106</v>
      </c>
    </row>
    <row r="342" spans="1:3" ht="12.75">
      <c r="A342" s="25" t="s">
        <v>389</v>
      </c>
      <c r="B342" s="27" t="s">
        <v>367</v>
      </c>
      <c r="C342" s="27" t="s">
        <v>390</v>
      </c>
    </row>
    <row r="343" spans="1:3" ht="12.75">
      <c r="A343" s="25" t="s">
        <v>170</v>
      </c>
      <c r="B343" s="27" t="s">
        <v>367</v>
      </c>
      <c r="C343" s="27" t="s">
        <v>106</v>
      </c>
    </row>
    <row r="344" spans="1:3" ht="12.75">
      <c r="A344" s="25" t="s">
        <v>391</v>
      </c>
      <c r="B344" s="27" t="s">
        <v>367</v>
      </c>
      <c r="C344" s="27" t="s">
        <v>106</v>
      </c>
    </row>
    <row r="345" spans="1:3" ht="12.75">
      <c r="A345" s="25" t="s">
        <v>392</v>
      </c>
      <c r="B345" s="27" t="s">
        <v>367</v>
      </c>
      <c r="C345" s="27" t="s">
        <v>393</v>
      </c>
    </row>
    <row r="346" spans="1:3" ht="12.75">
      <c r="A346" s="25" t="s">
        <v>394</v>
      </c>
      <c r="B346" s="27" t="s">
        <v>367</v>
      </c>
      <c r="C346" s="27" t="s">
        <v>106</v>
      </c>
    </row>
    <row r="347" spans="1:3" ht="12.75">
      <c r="A347" s="25" t="s">
        <v>395</v>
      </c>
      <c r="B347" s="27" t="s">
        <v>367</v>
      </c>
      <c r="C347" s="27" t="s">
        <v>91</v>
      </c>
    </row>
    <row r="348" spans="1:3" ht="12.75">
      <c r="A348" s="25" t="s">
        <v>396</v>
      </c>
      <c r="B348" s="27" t="s">
        <v>367</v>
      </c>
      <c r="C348" s="27" t="s">
        <v>180</v>
      </c>
    </row>
    <row r="349" spans="1:3" ht="12.75">
      <c r="A349" s="25" t="s">
        <v>397</v>
      </c>
      <c r="B349" s="27" t="s">
        <v>367</v>
      </c>
      <c r="C349" s="27" t="s">
        <v>106</v>
      </c>
    </row>
    <row r="350" spans="1:3" ht="12.75">
      <c r="A350" s="25" t="s">
        <v>195</v>
      </c>
      <c r="B350" s="27" t="s">
        <v>367</v>
      </c>
      <c r="C350" s="27" t="s">
        <v>180</v>
      </c>
    </row>
    <row r="351" spans="1:3" ht="12.75">
      <c r="A351" s="25" t="s">
        <v>398</v>
      </c>
      <c r="B351" s="27" t="s">
        <v>367</v>
      </c>
      <c r="C351" s="27" t="s">
        <v>106</v>
      </c>
    </row>
    <row r="352" spans="1:3" ht="14.25" customHeight="1">
      <c r="A352" s="25" t="s">
        <v>399</v>
      </c>
      <c r="B352" s="27" t="s">
        <v>367</v>
      </c>
      <c r="C352" s="27" t="s">
        <v>106</v>
      </c>
    </row>
    <row r="353" spans="1:3" ht="12.75">
      <c r="A353" s="25" t="s">
        <v>400</v>
      </c>
      <c r="B353" s="27" t="s">
        <v>367</v>
      </c>
      <c r="C353" s="27" t="s">
        <v>91</v>
      </c>
    </row>
    <row r="354" spans="1:3" ht="12.75">
      <c r="A354" s="25" t="s">
        <v>228</v>
      </c>
      <c r="B354" s="27" t="s">
        <v>367</v>
      </c>
      <c r="C354" s="27" t="s">
        <v>229</v>
      </c>
    </row>
    <row r="355" spans="1:3" ht="12.75">
      <c r="A355" s="25" t="s">
        <v>230</v>
      </c>
      <c r="B355" s="27" t="s">
        <v>367</v>
      </c>
      <c r="C355" s="27" t="s">
        <v>229</v>
      </c>
    </row>
    <row r="356" spans="1:3" ht="12.75">
      <c r="A356" s="25" t="s">
        <v>401</v>
      </c>
      <c r="B356" s="27" t="s">
        <v>367</v>
      </c>
      <c r="C356" s="27" t="s">
        <v>106</v>
      </c>
    </row>
    <row r="357" spans="1:3" ht="12.75">
      <c r="A357" s="25" t="s">
        <v>244</v>
      </c>
      <c r="B357" s="27" t="s">
        <v>367</v>
      </c>
      <c r="C357" s="27" t="s">
        <v>106</v>
      </c>
    </row>
    <row r="358" spans="1:3" ht="12.75">
      <c r="A358" s="25" t="s">
        <v>402</v>
      </c>
      <c r="B358" s="27" t="s">
        <v>367</v>
      </c>
      <c r="C358" s="27" t="s">
        <v>403</v>
      </c>
    </row>
    <row r="359" spans="1:4" ht="30.75" customHeight="1">
      <c r="A359" s="99" t="s">
        <v>248</v>
      </c>
      <c r="B359" s="100"/>
      <c r="C359" s="101"/>
      <c r="D359" s="22"/>
    </row>
    <row r="360" spans="1:3" ht="12.75">
      <c r="A360" s="25" t="s">
        <v>404</v>
      </c>
      <c r="B360" s="27" t="s">
        <v>367</v>
      </c>
      <c r="C360" s="27" t="s">
        <v>252</v>
      </c>
    </row>
    <row r="361" spans="1:3" ht="12.75">
      <c r="A361" s="25" t="s">
        <v>257</v>
      </c>
      <c r="B361" s="27" t="s">
        <v>367</v>
      </c>
      <c r="C361" s="27" t="s">
        <v>252</v>
      </c>
    </row>
    <row r="362" spans="1:3" ht="12.75">
      <c r="A362" s="25" t="s">
        <v>405</v>
      </c>
      <c r="B362" s="27" t="s">
        <v>367</v>
      </c>
      <c r="C362" s="27" t="s">
        <v>252</v>
      </c>
    </row>
    <row r="363" spans="1:3" ht="12.75">
      <c r="A363" s="25" t="s">
        <v>406</v>
      </c>
      <c r="B363" s="27" t="s">
        <v>367</v>
      </c>
      <c r="C363" s="27" t="s">
        <v>407</v>
      </c>
    </row>
    <row r="364" spans="1:3" ht="12.75">
      <c r="A364" s="25" t="s">
        <v>408</v>
      </c>
      <c r="B364" s="27" t="s">
        <v>367</v>
      </c>
      <c r="C364" s="27" t="s">
        <v>409</v>
      </c>
    </row>
    <row r="365" spans="1:3" ht="12.75">
      <c r="A365" s="25" t="s">
        <v>406</v>
      </c>
      <c r="B365" s="27" t="s">
        <v>367</v>
      </c>
      <c r="C365" s="27" t="s">
        <v>410</v>
      </c>
    </row>
    <row r="366" spans="1:3" ht="12.75">
      <c r="A366" s="25" t="s">
        <v>269</v>
      </c>
      <c r="B366" s="27" t="s">
        <v>367</v>
      </c>
      <c r="C366" s="27" t="s">
        <v>252</v>
      </c>
    </row>
    <row r="367" spans="1:3" ht="12.75">
      <c r="A367" s="25" t="s">
        <v>411</v>
      </c>
      <c r="B367" s="27" t="s">
        <v>367</v>
      </c>
      <c r="C367" s="27" t="s">
        <v>266</v>
      </c>
    </row>
    <row r="368" spans="1:4" ht="32.25" customHeight="1">
      <c r="A368" s="99" t="s">
        <v>273</v>
      </c>
      <c r="B368" s="100"/>
      <c r="C368" s="101"/>
      <c r="D368" s="22"/>
    </row>
    <row r="369" spans="1:3" ht="12.75">
      <c r="A369" s="25" t="s">
        <v>274</v>
      </c>
      <c r="B369" s="27" t="s">
        <v>367</v>
      </c>
      <c r="C369" s="27" t="s">
        <v>275</v>
      </c>
    </row>
    <row r="370" spans="1:3" ht="12.75">
      <c r="A370" s="25" t="s">
        <v>278</v>
      </c>
      <c r="B370" s="27" t="s">
        <v>367</v>
      </c>
      <c r="C370" s="27" t="s">
        <v>275</v>
      </c>
    </row>
    <row r="371" spans="1:3" ht="12.75">
      <c r="A371" s="25" t="s">
        <v>412</v>
      </c>
      <c r="B371" s="27" t="s">
        <v>367</v>
      </c>
      <c r="C371" s="27" t="s">
        <v>275</v>
      </c>
    </row>
    <row r="372" spans="1:3" ht="12.75">
      <c r="A372" s="25" t="s">
        <v>281</v>
      </c>
      <c r="B372" s="27" t="s">
        <v>367</v>
      </c>
      <c r="C372" s="27" t="s">
        <v>275</v>
      </c>
    </row>
    <row r="373" spans="1:3" ht="12.75">
      <c r="A373" s="25" t="s">
        <v>282</v>
      </c>
      <c r="B373" s="27" t="s">
        <v>367</v>
      </c>
      <c r="C373" s="27" t="s">
        <v>275</v>
      </c>
    </row>
    <row r="374" spans="1:4" ht="33" customHeight="1">
      <c r="A374" s="99" t="s">
        <v>283</v>
      </c>
      <c r="B374" s="100"/>
      <c r="C374" s="101"/>
      <c r="D374" s="22"/>
    </row>
    <row r="375" spans="1:3" ht="12.75">
      <c r="A375" s="25" t="s">
        <v>284</v>
      </c>
      <c r="B375" s="27" t="s">
        <v>367</v>
      </c>
      <c r="C375" s="27" t="s">
        <v>287</v>
      </c>
    </row>
    <row r="376" spans="1:3" ht="12.75">
      <c r="A376" s="25" t="s">
        <v>293</v>
      </c>
      <c r="B376" s="27" t="s">
        <v>367</v>
      </c>
      <c r="C376" s="27" t="s">
        <v>413</v>
      </c>
    </row>
    <row r="377" spans="1:3" ht="12.75">
      <c r="A377" s="25" t="s">
        <v>286</v>
      </c>
      <c r="B377" s="27" t="s">
        <v>367</v>
      </c>
      <c r="C377" s="27" t="s">
        <v>287</v>
      </c>
    </row>
    <row r="378" spans="1:3" ht="12.75">
      <c r="A378" s="25" t="s">
        <v>59</v>
      </c>
      <c r="B378" s="27" t="s">
        <v>367</v>
      </c>
      <c r="C378" s="27" t="s">
        <v>413</v>
      </c>
    </row>
    <row r="379" spans="1:4" ht="33.75" customHeight="1">
      <c r="A379" s="99" t="s">
        <v>303</v>
      </c>
      <c r="B379" s="100"/>
      <c r="C379" s="101"/>
      <c r="D379" s="22"/>
    </row>
    <row r="380" spans="1:3" ht="12.75">
      <c r="A380" s="25" t="s">
        <v>304</v>
      </c>
      <c r="B380" s="27" t="s">
        <v>367</v>
      </c>
      <c r="C380" s="27" t="s">
        <v>106</v>
      </c>
    </row>
    <row r="381" spans="1:3" ht="25.5">
      <c r="A381" s="25" t="s">
        <v>414</v>
      </c>
      <c r="B381" s="27" t="s">
        <v>367</v>
      </c>
      <c r="C381" s="27" t="s">
        <v>106</v>
      </c>
    </row>
    <row r="382" spans="1:3" ht="12.75">
      <c r="A382" s="25" t="s">
        <v>415</v>
      </c>
      <c r="B382" s="27" t="s">
        <v>367</v>
      </c>
      <c r="C382" s="27" t="s">
        <v>106</v>
      </c>
    </row>
    <row r="383" spans="1:3" ht="12.75">
      <c r="A383" s="25" t="s">
        <v>416</v>
      </c>
      <c r="B383" s="27" t="s">
        <v>367</v>
      </c>
      <c r="C383" s="27" t="s">
        <v>106</v>
      </c>
    </row>
    <row r="384" spans="1:3" ht="12.75">
      <c r="A384" s="25" t="s">
        <v>417</v>
      </c>
      <c r="B384" s="27" t="s">
        <v>367</v>
      </c>
      <c r="C384" s="27" t="s">
        <v>418</v>
      </c>
    </row>
    <row r="385" spans="1:3" ht="12.75">
      <c r="A385" s="25" t="s">
        <v>320</v>
      </c>
      <c r="B385" s="27" t="s">
        <v>367</v>
      </c>
      <c r="C385" s="27" t="s">
        <v>178</v>
      </c>
    </row>
    <row r="386" spans="1:3" ht="12.75">
      <c r="A386" s="25" t="s">
        <v>320</v>
      </c>
      <c r="B386" s="27" t="s">
        <v>367</v>
      </c>
      <c r="C386" s="27" t="s">
        <v>180</v>
      </c>
    </row>
    <row r="387" spans="1:3" ht="12.75">
      <c r="A387" s="25" t="s">
        <v>419</v>
      </c>
      <c r="B387" s="27" t="s">
        <v>367</v>
      </c>
      <c r="C387" s="27" t="s">
        <v>106</v>
      </c>
    </row>
    <row r="388" spans="1:3" ht="12.75">
      <c r="A388" s="25" t="s">
        <v>324</v>
      </c>
      <c r="B388" s="27" t="s">
        <v>367</v>
      </c>
      <c r="C388" s="27" t="s">
        <v>180</v>
      </c>
    </row>
    <row r="389" spans="1:3" ht="12.75">
      <c r="A389" s="25" t="s">
        <v>326</v>
      </c>
      <c r="B389" s="27" t="s">
        <v>367</v>
      </c>
      <c r="C389" s="27" t="s">
        <v>106</v>
      </c>
    </row>
    <row r="390" spans="1:3" ht="12.75">
      <c r="A390" s="25" t="s">
        <v>420</v>
      </c>
      <c r="B390" s="27" t="s">
        <v>367</v>
      </c>
      <c r="C390" s="27" t="s">
        <v>106</v>
      </c>
    </row>
    <row r="391" spans="1:3" ht="12.75">
      <c r="A391" s="25" t="s">
        <v>338</v>
      </c>
      <c r="B391" s="27" t="s">
        <v>367</v>
      </c>
      <c r="C391" s="27" t="s">
        <v>106</v>
      </c>
    </row>
    <row r="392" spans="1:3" ht="12.75">
      <c r="A392" s="25" t="s">
        <v>421</v>
      </c>
      <c r="B392" s="27" t="s">
        <v>367</v>
      </c>
      <c r="C392" s="27" t="s">
        <v>340</v>
      </c>
    </row>
    <row r="393" spans="1:3" ht="12.75">
      <c r="A393" s="25" t="s">
        <v>60</v>
      </c>
      <c r="B393" s="27" t="s">
        <v>367</v>
      </c>
      <c r="C393" s="27" t="s">
        <v>106</v>
      </c>
    </row>
    <row r="394" spans="1:3" ht="12.75">
      <c r="A394" s="25" t="s">
        <v>422</v>
      </c>
      <c r="B394" s="27" t="s">
        <v>367</v>
      </c>
      <c r="C394" s="27" t="s">
        <v>180</v>
      </c>
    </row>
    <row r="395" spans="1:3" ht="12.75">
      <c r="A395" s="25" t="s">
        <v>347</v>
      </c>
      <c r="B395" s="27" t="s">
        <v>367</v>
      </c>
      <c r="C395" s="27" t="s">
        <v>106</v>
      </c>
    </row>
    <row r="396" spans="1:3" ht="12.75">
      <c r="A396" s="25" t="s">
        <v>352</v>
      </c>
      <c r="B396" s="27" t="s">
        <v>367</v>
      </c>
      <c r="C396" s="27" t="s">
        <v>106</v>
      </c>
    </row>
    <row r="397" spans="1:4" ht="33.75" customHeight="1">
      <c r="A397" s="99" t="s">
        <v>423</v>
      </c>
      <c r="B397" s="100"/>
      <c r="C397" s="101"/>
      <c r="D397" s="22"/>
    </row>
    <row r="398" spans="1:3" ht="12.75">
      <c r="A398" s="25" t="s">
        <v>70</v>
      </c>
      <c r="B398" s="27" t="s">
        <v>367</v>
      </c>
      <c r="C398" s="27" t="s">
        <v>424</v>
      </c>
    </row>
    <row r="399" spans="1:3" ht="12.75">
      <c r="A399" s="25" t="s">
        <v>98</v>
      </c>
      <c r="B399" s="27" t="s">
        <v>367</v>
      </c>
      <c r="C399" s="27" t="s">
        <v>425</v>
      </c>
    </row>
    <row r="400" spans="1:3" ht="12.75">
      <c r="A400" s="25" t="s">
        <v>426</v>
      </c>
      <c r="B400" s="27" t="s">
        <v>367</v>
      </c>
      <c r="C400" s="27" t="s">
        <v>424</v>
      </c>
    </row>
    <row r="401" spans="1:3" ht="12.75">
      <c r="A401" s="25" t="s">
        <v>383</v>
      </c>
      <c r="B401" s="27" t="s">
        <v>367</v>
      </c>
      <c r="C401" s="27" t="s">
        <v>424</v>
      </c>
    </row>
    <row r="402" spans="1:3" ht="12.75">
      <c r="A402" s="25" t="s">
        <v>427</v>
      </c>
      <c r="B402" s="27" t="s">
        <v>367</v>
      </c>
      <c r="C402" s="27" t="s">
        <v>428</v>
      </c>
    </row>
    <row r="403" spans="1:3" ht="12.75">
      <c r="A403" s="25" t="s">
        <v>427</v>
      </c>
      <c r="B403" s="27" t="s">
        <v>367</v>
      </c>
      <c r="C403" s="27" t="s">
        <v>429</v>
      </c>
    </row>
    <row r="404" spans="1:3" ht="12.75">
      <c r="A404" s="25" t="s">
        <v>391</v>
      </c>
      <c r="B404" s="27" t="s">
        <v>367</v>
      </c>
      <c r="C404" s="27" t="s">
        <v>424</v>
      </c>
    </row>
    <row r="405" spans="1:3" ht="12.75">
      <c r="A405" s="25" t="s">
        <v>394</v>
      </c>
      <c r="B405" s="27" t="s">
        <v>367</v>
      </c>
      <c r="C405" s="27" t="s">
        <v>424</v>
      </c>
    </row>
    <row r="406" spans="1:3" ht="12.75">
      <c r="A406" s="25" t="s">
        <v>430</v>
      </c>
      <c r="B406" s="27" t="s">
        <v>367</v>
      </c>
      <c r="C406" s="27" t="s">
        <v>424</v>
      </c>
    </row>
    <row r="407" spans="1:3" ht="17.25" customHeight="1">
      <c r="A407" s="25" t="s">
        <v>431</v>
      </c>
      <c r="B407" s="27" t="s">
        <v>367</v>
      </c>
      <c r="C407" s="27" t="s">
        <v>424</v>
      </c>
    </row>
    <row r="408" spans="1:3" ht="12.75">
      <c r="A408" s="25" t="s">
        <v>244</v>
      </c>
      <c r="B408" s="27" t="s">
        <v>367</v>
      </c>
      <c r="C408" s="27" t="s">
        <v>424</v>
      </c>
    </row>
    <row r="409" spans="1:3" ht="25.5">
      <c r="A409" s="25" t="s">
        <v>432</v>
      </c>
      <c r="B409" s="27" t="s">
        <v>367</v>
      </c>
      <c r="C409" s="27" t="s">
        <v>424</v>
      </c>
    </row>
    <row r="410" spans="1:3" ht="12.75">
      <c r="A410" s="25" t="s">
        <v>406</v>
      </c>
      <c r="B410" s="27" t="s">
        <v>367</v>
      </c>
      <c r="C410" s="27" t="s">
        <v>433</v>
      </c>
    </row>
    <row r="411" spans="1:3" ht="12.75">
      <c r="A411" s="25" t="s">
        <v>406</v>
      </c>
      <c r="B411" s="27" t="s">
        <v>367</v>
      </c>
      <c r="C411" s="27" t="s">
        <v>434</v>
      </c>
    </row>
    <row r="412" spans="1:3" ht="12.75">
      <c r="A412" s="25" t="s">
        <v>406</v>
      </c>
      <c r="B412" s="27" t="s">
        <v>367</v>
      </c>
      <c r="C412" s="27" t="s">
        <v>435</v>
      </c>
    </row>
    <row r="413" spans="1:3" ht="12.75">
      <c r="A413" s="25" t="s">
        <v>269</v>
      </c>
      <c r="B413" s="27" t="s">
        <v>367</v>
      </c>
      <c r="C413" s="27" t="s">
        <v>424</v>
      </c>
    </row>
    <row r="414" spans="1:3" ht="12.75">
      <c r="A414" s="25" t="s">
        <v>436</v>
      </c>
      <c r="B414" s="27" t="s">
        <v>367</v>
      </c>
      <c r="C414" s="27" t="s">
        <v>424</v>
      </c>
    </row>
    <row r="415" spans="1:3" ht="12.75">
      <c r="A415" s="25" t="s">
        <v>281</v>
      </c>
      <c r="B415" s="27" t="s">
        <v>367</v>
      </c>
      <c r="C415" s="27" t="s">
        <v>424</v>
      </c>
    </row>
    <row r="416" spans="1:3" ht="12.75">
      <c r="A416" s="25" t="s">
        <v>282</v>
      </c>
      <c r="B416" s="27" t="s">
        <v>367</v>
      </c>
      <c r="C416" s="27" t="s">
        <v>424</v>
      </c>
    </row>
    <row r="417" spans="1:3" ht="12.75">
      <c r="A417" s="25" t="s">
        <v>56</v>
      </c>
      <c r="B417" s="27" t="s">
        <v>367</v>
      </c>
      <c r="C417" s="27" t="s">
        <v>424</v>
      </c>
    </row>
    <row r="418" spans="1:3" ht="12.75">
      <c r="A418" s="25" t="s">
        <v>437</v>
      </c>
      <c r="B418" s="27" t="s">
        <v>367</v>
      </c>
      <c r="C418" s="27" t="s">
        <v>424</v>
      </c>
    </row>
    <row r="419" spans="1:3" ht="12.75">
      <c r="A419" s="25" t="s">
        <v>316</v>
      </c>
      <c r="B419" s="27" t="s">
        <v>367</v>
      </c>
      <c r="C419" s="27" t="s">
        <v>424</v>
      </c>
    </row>
    <row r="420" spans="1:3" ht="12.75">
      <c r="A420" s="25" t="s">
        <v>316</v>
      </c>
      <c r="B420" s="27" t="s">
        <v>367</v>
      </c>
      <c r="C420" s="27" t="s">
        <v>438</v>
      </c>
    </row>
    <row r="421" spans="1:3" ht="12.75">
      <c r="A421" s="25" t="s">
        <v>320</v>
      </c>
      <c r="B421" s="27" t="s">
        <v>367</v>
      </c>
      <c r="C421" s="27" t="s">
        <v>424</v>
      </c>
    </row>
    <row r="422" spans="1:3" ht="12.75">
      <c r="A422" s="25" t="s">
        <v>439</v>
      </c>
      <c r="B422" s="27" t="s">
        <v>367</v>
      </c>
      <c r="C422" s="27" t="s">
        <v>424</v>
      </c>
    </row>
    <row r="423" spans="1:3" ht="12.75">
      <c r="A423" s="25" t="s">
        <v>352</v>
      </c>
      <c r="B423" s="27" t="s">
        <v>367</v>
      </c>
      <c r="C423" s="27" t="s">
        <v>424</v>
      </c>
    </row>
  </sheetData>
  <sheetProtection/>
  <mergeCells count="38">
    <mergeCell ref="A107:C107"/>
    <mergeCell ref="A208:C208"/>
    <mergeCell ref="A225:C225"/>
    <mergeCell ref="A233:C233"/>
    <mergeCell ref="A379:C379"/>
    <mergeCell ref="A397:C397"/>
    <mergeCell ref="A319:C319"/>
    <mergeCell ref="A321:C321"/>
    <mergeCell ref="A330:C330"/>
    <mergeCell ref="A359:C359"/>
    <mergeCell ref="A368:C368"/>
    <mergeCell ref="A374:C374"/>
    <mergeCell ref="A44:A47"/>
    <mergeCell ref="A48:A50"/>
    <mergeCell ref="A247:C247"/>
    <mergeCell ref="A306:C306"/>
    <mergeCell ref="A57:A59"/>
    <mergeCell ref="A60:A62"/>
    <mergeCell ref="A63:A65"/>
    <mergeCell ref="A66:A68"/>
    <mergeCell ref="A83:C83"/>
    <mergeCell ref="A85:C85"/>
    <mergeCell ref="A51:A53"/>
    <mergeCell ref="A54:A56"/>
    <mergeCell ref="A12:A15"/>
    <mergeCell ref="A16:A19"/>
    <mergeCell ref="A20:A23"/>
    <mergeCell ref="A24:A27"/>
    <mergeCell ref="A28:A31"/>
    <mergeCell ref="A32:A35"/>
    <mergeCell ref="A36:A39"/>
    <mergeCell ref="A40:A43"/>
    <mergeCell ref="A9:C9"/>
    <mergeCell ref="A10:C10"/>
    <mergeCell ref="A5:C5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scale="9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Dron</cp:lastModifiedBy>
  <cp:lastPrinted>2022-06-08T08:03:46Z</cp:lastPrinted>
  <dcterms:created xsi:type="dcterms:W3CDTF">1996-10-08T23:32:33Z</dcterms:created>
  <dcterms:modified xsi:type="dcterms:W3CDTF">2022-06-09T08:23:49Z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